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21DCB\EXCELCNV\b3fe9474-0431-458a-8a44-53dab7299f51\"/>
    </mc:Choice>
  </mc:AlternateContent>
  <xr:revisionPtr revIDLastSave="0" documentId="8_{27492970-6627-48E6-AC99-7C8E6B051A47}" xr6:coauthVersionLast="47" xr6:coauthVersionMax="47" xr10:uidLastSave="{00000000-0000-0000-0000-000000000000}"/>
  <bookViews>
    <workbookView xWindow="-60" yWindow="-60" windowWidth="15480" windowHeight="11640" firstSheet="1" activeTab="1" xr2:uid="{6A96576D-13AC-4CCC-835C-437545865FD8}"/>
  </bookViews>
  <sheets>
    <sheet name="Chart1" sheetId="2" r:id="rId1"/>
    <sheet name="2000-Present" sheetId="1" r:id="rId2"/>
  </sheets>
  <definedNames>
    <definedName name="_xlnm.Print_Area" localSheetId="1">'2000-Present'!$A$651:$J$694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E11" i="1"/>
  <c r="C11" i="1"/>
  <c r="J10" i="1"/>
  <c r="F10" i="1"/>
  <c r="B10" i="1"/>
  <c r="J9" i="1"/>
  <c r="F9" i="1"/>
  <c r="B9" i="1"/>
  <c r="H9" i="1"/>
  <c r="J8" i="1"/>
  <c r="F8" i="1"/>
  <c r="B8" i="1"/>
  <c r="H8" i="1"/>
  <c r="J7" i="1"/>
  <c r="F7" i="1"/>
  <c r="B7" i="1"/>
  <c r="H7" i="1"/>
  <c r="J6" i="1"/>
  <c r="F6" i="1"/>
  <c r="B6" i="1"/>
  <c r="B17" i="1"/>
  <c r="H17" i="1"/>
  <c r="F17" i="1"/>
  <c r="J17" i="1"/>
  <c r="B18" i="1"/>
  <c r="D18" i="1"/>
  <c r="F18" i="1"/>
  <c r="H18" i="1"/>
  <c r="J18" i="1"/>
  <c r="B19" i="1"/>
  <c r="F19" i="1"/>
  <c r="J19" i="1"/>
  <c r="B20" i="1"/>
  <c r="H20" i="1"/>
  <c r="D20" i="1"/>
  <c r="F20" i="1"/>
  <c r="J20" i="1"/>
  <c r="B21" i="1"/>
  <c r="D21" i="1"/>
  <c r="F21" i="1"/>
  <c r="J21" i="1"/>
  <c r="C22" i="1"/>
  <c r="E22" i="1"/>
  <c r="G22" i="1"/>
  <c r="I22" i="1"/>
  <c r="I33" i="1"/>
  <c r="G33" i="1"/>
  <c r="E33" i="1"/>
  <c r="C33" i="1"/>
  <c r="J32" i="1"/>
  <c r="F32" i="1"/>
  <c r="B32" i="1"/>
  <c r="H32" i="1"/>
  <c r="J31" i="1"/>
  <c r="F31" i="1"/>
  <c r="B31" i="1"/>
  <c r="H31" i="1"/>
  <c r="J30" i="1"/>
  <c r="F30" i="1"/>
  <c r="B30" i="1"/>
  <c r="H30" i="1"/>
  <c r="J29" i="1"/>
  <c r="F29" i="1"/>
  <c r="B29" i="1"/>
  <c r="H29" i="1"/>
  <c r="J28" i="1"/>
  <c r="F28" i="1"/>
  <c r="B28" i="1"/>
  <c r="B39" i="1"/>
  <c r="D39" i="1"/>
  <c r="F39" i="1"/>
  <c r="J39" i="1"/>
  <c r="B40" i="1"/>
  <c r="H40" i="1"/>
  <c r="F40" i="1"/>
  <c r="J40" i="1"/>
  <c r="B41" i="1"/>
  <c r="H41" i="1"/>
  <c r="D41" i="1"/>
  <c r="F41" i="1"/>
  <c r="J41" i="1"/>
  <c r="B42" i="1"/>
  <c r="D42" i="1"/>
  <c r="F42" i="1"/>
  <c r="J42" i="1"/>
  <c r="B43" i="1"/>
  <c r="F43" i="1"/>
  <c r="J43" i="1"/>
  <c r="C44" i="1"/>
  <c r="E44" i="1"/>
  <c r="G44" i="1"/>
  <c r="I44" i="1"/>
  <c r="I55" i="1"/>
  <c r="J55" i="1"/>
  <c r="G55" i="1"/>
  <c r="E55" i="1"/>
  <c r="F55" i="1"/>
  <c r="C55" i="1"/>
  <c r="J54" i="1"/>
  <c r="F54" i="1"/>
  <c r="B54" i="1"/>
  <c r="H54" i="1"/>
  <c r="J53" i="1"/>
  <c r="F53" i="1"/>
  <c r="B53" i="1"/>
  <c r="H53" i="1"/>
  <c r="J52" i="1"/>
  <c r="F52" i="1"/>
  <c r="B52" i="1"/>
  <c r="D52" i="1"/>
  <c r="J51" i="1"/>
  <c r="F51" i="1"/>
  <c r="B51" i="1"/>
  <c r="J50" i="1"/>
  <c r="F50" i="1"/>
  <c r="B50" i="1"/>
  <c r="I66" i="1"/>
  <c r="G66" i="1"/>
  <c r="E66" i="1"/>
  <c r="C66" i="1"/>
  <c r="J65" i="1"/>
  <c r="F65" i="1"/>
  <c r="B65" i="1"/>
  <c r="J64" i="1"/>
  <c r="F64" i="1"/>
  <c r="B64" i="1"/>
  <c r="H64" i="1"/>
  <c r="J63" i="1"/>
  <c r="F63" i="1"/>
  <c r="B63" i="1"/>
  <c r="D63" i="1"/>
  <c r="J62" i="1"/>
  <c r="F62" i="1"/>
  <c r="B62" i="1"/>
  <c r="H62" i="1"/>
  <c r="J61" i="1"/>
  <c r="F61" i="1"/>
  <c r="B61" i="1"/>
  <c r="D61" i="1"/>
  <c r="I77" i="1"/>
  <c r="J77" i="1"/>
  <c r="G77" i="1"/>
  <c r="E77" i="1"/>
  <c r="C77" i="1"/>
  <c r="J76" i="1"/>
  <c r="F76" i="1"/>
  <c r="B76" i="1"/>
  <c r="H76" i="1"/>
  <c r="J75" i="1"/>
  <c r="F75" i="1"/>
  <c r="B75" i="1"/>
  <c r="D75" i="1"/>
  <c r="J74" i="1"/>
  <c r="F74" i="1"/>
  <c r="B74" i="1"/>
  <c r="J73" i="1"/>
  <c r="F73" i="1"/>
  <c r="B73" i="1"/>
  <c r="J72" i="1"/>
  <c r="F72" i="1"/>
  <c r="B72" i="1"/>
  <c r="D72" i="1"/>
  <c r="I88" i="1"/>
  <c r="G88" i="1"/>
  <c r="E88" i="1"/>
  <c r="C88" i="1"/>
  <c r="J87" i="1"/>
  <c r="F87" i="1"/>
  <c r="B87" i="1"/>
  <c r="H87" i="1"/>
  <c r="J86" i="1"/>
  <c r="F86" i="1"/>
  <c r="B86" i="1"/>
  <c r="H86" i="1"/>
  <c r="J85" i="1"/>
  <c r="F85" i="1"/>
  <c r="B85" i="1"/>
  <c r="J84" i="1"/>
  <c r="F84" i="1"/>
  <c r="B84" i="1"/>
  <c r="H84" i="1"/>
  <c r="J83" i="1"/>
  <c r="F83" i="1"/>
  <c r="B83" i="1"/>
  <c r="H83" i="1"/>
  <c r="I99" i="1"/>
  <c r="G99" i="1"/>
  <c r="E99" i="1"/>
  <c r="F99" i="1"/>
  <c r="C99" i="1"/>
  <c r="J98" i="1"/>
  <c r="F98" i="1"/>
  <c r="B98" i="1"/>
  <c r="J97" i="1"/>
  <c r="F97" i="1"/>
  <c r="B97" i="1"/>
  <c r="H97" i="1"/>
  <c r="J96" i="1"/>
  <c r="F96" i="1"/>
  <c r="B96" i="1"/>
  <c r="H96" i="1"/>
  <c r="J95" i="1"/>
  <c r="F95" i="1"/>
  <c r="B95" i="1"/>
  <c r="D95" i="1"/>
  <c r="J94" i="1"/>
  <c r="F94" i="1"/>
  <c r="B94" i="1"/>
  <c r="B99" i="1"/>
  <c r="H99" i="1"/>
  <c r="B105" i="1"/>
  <c r="F105" i="1"/>
  <c r="J105" i="1"/>
  <c r="B106" i="1"/>
  <c r="H106" i="1"/>
  <c r="F106" i="1"/>
  <c r="J106" i="1"/>
  <c r="B107" i="1"/>
  <c r="F107" i="1"/>
  <c r="J107" i="1"/>
  <c r="B108" i="1"/>
  <c r="D108" i="1"/>
  <c r="F108" i="1"/>
  <c r="J108" i="1"/>
  <c r="B109" i="1"/>
  <c r="F109" i="1"/>
  <c r="J109" i="1"/>
  <c r="C110" i="1"/>
  <c r="E110" i="1"/>
  <c r="J110" i="1"/>
  <c r="G110" i="1"/>
  <c r="I121" i="1"/>
  <c r="G121" i="1"/>
  <c r="E121" i="1"/>
  <c r="C121" i="1"/>
  <c r="J120" i="1"/>
  <c r="F120" i="1"/>
  <c r="B120" i="1"/>
  <c r="J119" i="1"/>
  <c r="F119" i="1"/>
  <c r="B119" i="1"/>
  <c r="B121" i="1"/>
  <c r="H121" i="1"/>
  <c r="J118" i="1"/>
  <c r="F118" i="1"/>
  <c r="B118" i="1"/>
  <c r="H118" i="1"/>
  <c r="J117" i="1"/>
  <c r="F117" i="1"/>
  <c r="B117" i="1"/>
  <c r="J116" i="1"/>
  <c r="F116" i="1"/>
  <c r="B116" i="1"/>
  <c r="I132" i="1"/>
  <c r="J132" i="1"/>
  <c r="G132" i="1"/>
  <c r="E132" i="1"/>
  <c r="C132" i="1"/>
  <c r="J131" i="1"/>
  <c r="F131" i="1"/>
  <c r="B131" i="1"/>
  <c r="D131" i="1"/>
  <c r="J130" i="1"/>
  <c r="F130" i="1"/>
  <c r="B130" i="1"/>
  <c r="J129" i="1"/>
  <c r="F129" i="1"/>
  <c r="B129" i="1"/>
  <c r="J128" i="1"/>
  <c r="F128" i="1"/>
  <c r="B128" i="1"/>
  <c r="J127" i="1"/>
  <c r="F127" i="1"/>
  <c r="B127" i="1"/>
  <c r="B138" i="1"/>
  <c r="F138" i="1"/>
  <c r="J138" i="1"/>
  <c r="B139" i="1"/>
  <c r="H139" i="1"/>
  <c r="F139" i="1"/>
  <c r="J139" i="1"/>
  <c r="B140" i="1"/>
  <c r="D140" i="1"/>
  <c r="F140" i="1"/>
  <c r="J140" i="1"/>
  <c r="B141" i="1"/>
  <c r="F141" i="1"/>
  <c r="J141" i="1"/>
  <c r="B142" i="1"/>
  <c r="F142" i="1"/>
  <c r="J142" i="1"/>
  <c r="C143" i="1"/>
  <c r="E143" i="1"/>
  <c r="G143" i="1"/>
  <c r="I143" i="1"/>
  <c r="I154" i="1"/>
  <c r="F154" i="1"/>
  <c r="G154" i="1"/>
  <c r="E154" i="1"/>
  <c r="C154" i="1"/>
  <c r="J153" i="1"/>
  <c r="F153" i="1"/>
  <c r="B153" i="1"/>
  <c r="J152" i="1"/>
  <c r="F152" i="1"/>
  <c r="B152" i="1"/>
  <c r="D152" i="1"/>
  <c r="J151" i="1"/>
  <c r="F151" i="1"/>
  <c r="B151" i="1"/>
  <c r="D151" i="1"/>
  <c r="J150" i="1"/>
  <c r="F150" i="1"/>
  <c r="B150" i="1"/>
  <c r="J149" i="1"/>
  <c r="F149" i="1"/>
  <c r="B149" i="1"/>
  <c r="I165" i="1"/>
  <c r="G165" i="1"/>
  <c r="E165" i="1"/>
  <c r="C165" i="1"/>
  <c r="J164" i="1"/>
  <c r="F164" i="1"/>
  <c r="B164" i="1"/>
  <c r="J163" i="1"/>
  <c r="F163" i="1"/>
  <c r="B163" i="1"/>
  <c r="H163" i="1"/>
  <c r="J162" i="1"/>
  <c r="F162" i="1"/>
  <c r="B162" i="1"/>
  <c r="J161" i="1"/>
  <c r="F161" i="1"/>
  <c r="B161" i="1"/>
  <c r="J160" i="1"/>
  <c r="F160" i="1"/>
  <c r="B160" i="1"/>
  <c r="I176" i="1"/>
  <c r="G176" i="1"/>
  <c r="E176" i="1"/>
  <c r="F176" i="1"/>
  <c r="C176" i="1"/>
  <c r="J175" i="1"/>
  <c r="F175" i="1"/>
  <c r="B175" i="1"/>
  <c r="J174" i="1"/>
  <c r="F174" i="1"/>
  <c r="B174" i="1"/>
  <c r="J173" i="1"/>
  <c r="F173" i="1"/>
  <c r="B173" i="1"/>
  <c r="H173" i="1"/>
  <c r="J172" i="1"/>
  <c r="F172" i="1"/>
  <c r="B172" i="1"/>
  <c r="H172" i="1"/>
  <c r="J171" i="1"/>
  <c r="F171" i="1"/>
  <c r="B171" i="1"/>
  <c r="D171" i="1"/>
  <c r="I187" i="1"/>
  <c r="G187" i="1"/>
  <c r="E187" i="1"/>
  <c r="C187" i="1"/>
  <c r="J186" i="1"/>
  <c r="F186" i="1"/>
  <c r="B186" i="1"/>
  <c r="H186" i="1"/>
  <c r="J185" i="1"/>
  <c r="F185" i="1"/>
  <c r="B185" i="1"/>
  <c r="H185" i="1"/>
  <c r="J184" i="1"/>
  <c r="F184" i="1"/>
  <c r="B184" i="1"/>
  <c r="B187" i="1"/>
  <c r="H187" i="1"/>
  <c r="J183" i="1"/>
  <c r="F183" i="1"/>
  <c r="B183" i="1"/>
  <c r="H183" i="1"/>
  <c r="J182" i="1"/>
  <c r="F182" i="1"/>
  <c r="B182" i="1"/>
  <c r="I198" i="1"/>
  <c r="J198" i="1"/>
  <c r="G198" i="1"/>
  <c r="E198" i="1"/>
  <c r="F198" i="1"/>
  <c r="C198" i="1"/>
  <c r="J197" i="1"/>
  <c r="F197" i="1"/>
  <c r="B197" i="1"/>
  <c r="D197" i="1"/>
  <c r="J196" i="1"/>
  <c r="F196" i="1"/>
  <c r="B196" i="1"/>
  <c r="D196" i="1"/>
  <c r="J195" i="1"/>
  <c r="F195" i="1"/>
  <c r="B195" i="1"/>
  <c r="H195" i="1"/>
  <c r="J194" i="1"/>
  <c r="F194" i="1"/>
  <c r="B194" i="1"/>
  <c r="D194" i="1"/>
  <c r="J193" i="1"/>
  <c r="F193" i="1"/>
  <c r="B193" i="1"/>
  <c r="H193" i="1"/>
  <c r="B204" i="1"/>
  <c r="F204" i="1"/>
  <c r="J204" i="1"/>
  <c r="B205" i="1"/>
  <c r="F205" i="1"/>
  <c r="J205" i="1"/>
  <c r="B206" i="1"/>
  <c r="F206" i="1"/>
  <c r="J206" i="1"/>
  <c r="B207" i="1"/>
  <c r="D207" i="1"/>
  <c r="F207" i="1"/>
  <c r="J207" i="1"/>
  <c r="B208" i="1"/>
  <c r="H208" i="1"/>
  <c r="F208" i="1"/>
  <c r="J208" i="1"/>
  <c r="C209" i="1"/>
  <c r="D209" i="1"/>
  <c r="E209" i="1"/>
  <c r="G209" i="1"/>
  <c r="I209" i="1"/>
  <c r="I220" i="1"/>
  <c r="G220" i="1"/>
  <c r="E220" i="1"/>
  <c r="F220" i="1"/>
  <c r="C220" i="1"/>
  <c r="J219" i="1"/>
  <c r="F219" i="1"/>
  <c r="B219" i="1"/>
  <c r="H219" i="1"/>
  <c r="J218" i="1"/>
  <c r="F218" i="1"/>
  <c r="B218" i="1"/>
  <c r="J217" i="1"/>
  <c r="F217" i="1"/>
  <c r="B217" i="1"/>
  <c r="H217" i="1"/>
  <c r="J216" i="1"/>
  <c r="F216" i="1"/>
  <c r="B216" i="1"/>
  <c r="D216" i="1"/>
  <c r="J215" i="1"/>
  <c r="F215" i="1"/>
  <c r="B215" i="1"/>
  <c r="H215" i="1"/>
  <c r="I231" i="1"/>
  <c r="G231" i="1"/>
  <c r="E231" i="1"/>
  <c r="C231" i="1"/>
  <c r="J230" i="1"/>
  <c r="F230" i="1"/>
  <c r="B230" i="1"/>
  <c r="D230" i="1"/>
  <c r="J229" i="1"/>
  <c r="F229" i="1"/>
  <c r="B229" i="1"/>
  <c r="H229" i="1"/>
  <c r="J228" i="1"/>
  <c r="F228" i="1"/>
  <c r="B228" i="1"/>
  <c r="D228" i="1"/>
  <c r="J227" i="1"/>
  <c r="F227" i="1"/>
  <c r="B227" i="1"/>
  <c r="J226" i="1"/>
  <c r="F226" i="1"/>
  <c r="B226" i="1"/>
  <c r="F241" i="1"/>
  <c r="I242" i="1"/>
  <c r="G242" i="1"/>
  <c r="E242" i="1"/>
  <c r="C242" i="1"/>
  <c r="J241" i="1"/>
  <c r="B241" i="1"/>
  <c r="D241" i="1"/>
  <c r="J240" i="1"/>
  <c r="F240" i="1"/>
  <c r="B240" i="1"/>
  <c r="H240" i="1"/>
  <c r="J239" i="1"/>
  <c r="F239" i="1"/>
  <c r="B239" i="1"/>
  <c r="J238" i="1"/>
  <c r="F238" i="1"/>
  <c r="B238" i="1"/>
  <c r="H238" i="1"/>
  <c r="J237" i="1"/>
  <c r="F237" i="1"/>
  <c r="B237" i="1"/>
  <c r="I253" i="1"/>
  <c r="G253" i="1"/>
  <c r="E253" i="1"/>
  <c r="C253" i="1"/>
  <c r="J252" i="1"/>
  <c r="F252" i="1"/>
  <c r="B252" i="1"/>
  <c r="H252" i="1"/>
  <c r="J251" i="1"/>
  <c r="F251" i="1"/>
  <c r="B251" i="1"/>
  <c r="H251" i="1"/>
  <c r="J250" i="1"/>
  <c r="F250" i="1"/>
  <c r="B250" i="1"/>
  <c r="J249" i="1"/>
  <c r="F249" i="1"/>
  <c r="B249" i="1"/>
  <c r="J248" i="1"/>
  <c r="F248" i="1"/>
  <c r="B248" i="1"/>
  <c r="H248" i="1"/>
  <c r="D248" i="1"/>
  <c r="I264" i="1"/>
  <c r="G264" i="1"/>
  <c r="E264" i="1"/>
  <c r="F264" i="1"/>
  <c r="C264" i="1"/>
  <c r="J263" i="1"/>
  <c r="F263" i="1"/>
  <c r="B263" i="1"/>
  <c r="H263" i="1"/>
  <c r="J262" i="1"/>
  <c r="F262" i="1"/>
  <c r="B262" i="1"/>
  <c r="J261" i="1"/>
  <c r="F261" i="1"/>
  <c r="B261" i="1"/>
  <c r="J260" i="1"/>
  <c r="F260" i="1"/>
  <c r="B260" i="1"/>
  <c r="J259" i="1"/>
  <c r="F259" i="1"/>
  <c r="B259" i="1"/>
  <c r="I275" i="1"/>
  <c r="F275" i="1"/>
  <c r="G275" i="1"/>
  <c r="E275" i="1"/>
  <c r="C275" i="1"/>
  <c r="J274" i="1"/>
  <c r="F274" i="1"/>
  <c r="B274" i="1"/>
  <c r="J273" i="1"/>
  <c r="F273" i="1"/>
  <c r="B273" i="1"/>
  <c r="J272" i="1"/>
  <c r="F272" i="1"/>
  <c r="B272" i="1"/>
  <c r="H272" i="1"/>
  <c r="J271" i="1"/>
  <c r="F271" i="1"/>
  <c r="B271" i="1"/>
  <c r="J270" i="1"/>
  <c r="F270" i="1"/>
  <c r="B270" i="1"/>
  <c r="D270" i="1"/>
  <c r="I286" i="1"/>
  <c r="G286" i="1"/>
  <c r="E286" i="1"/>
  <c r="F286" i="1"/>
  <c r="C286" i="1"/>
  <c r="J285" i="1"/>
  <c r="F285" i="1"/>
  <c r="B285" i="1"/>
  <c r="J284" i="1"/>
  <c r="F284" i="1"/>
  <c r="B284" i="1"/>
  <c r="J283" i="1"/>
  <c r="F283" i="1"/>
  <c r="B283" i="1"/>
  <c r="J282" i="1"/>
  <c r="F282" i="1"/>
  <c r="B282" i="1"/>
  <c r="D282" i="1"/>
  <c r="J281" i="1"/>
  <c r="F281" i="1"/>
  <c r="B281" i="1"/>
  <c r="I297" i="1"/>
  <c r="G297" i="1"/>
  <c r="E297" i="1"/>
  <c r="C297" i="1"/>
  <c r="J296" i="1"/>
  <c r="F296" i="1"/>
  <c r="B296" i="1"/>
  <c r="J295" i="1"/>
  <c r="F295" i="1"/>
  <c r="B295" i="1"/>
  <c r="J294" i="1"/>
  <c r="F294" i="1"/>
  <c r="B294" i="1"/>
  <c r="H294" i="1"/>
  <c r="J293" i="1"/>
  <c r="F293" i="1"/>
  <c r="B293" i="1"/>
  <c r="J292" i="1"/>
  <c r="F292" i="1"/>
  <c r="B292" i="1"/>
  <c r="D292" i="1"/>
  <c r="F304" i="1"/>
  <c r="I308" i="1"/>
  <c r="G308" i="1"/>
  <c r="E308" i="1"/>
  <c r="C308" i="1"/>
  <c r="J307" i="1"/>
  <c r="F307" i="1"/>
  <c r="B307" i="1"/>
  <c r="D307" i="1"/>
  <c r="J306" i="1"/>
  <c r="F306" i="1"/>
  <c r="B306" i="1"/>
  <c r="J305" i="1"/>
  <c r="F305" i="1"/>
  <c r="B305" i="1"/>
  <c r="J304" i="1"/>
  <c r="B304" i="1"/>
  <c r="D304" i="1"/>
  <c r="J303" i="1"/>
  <c r="F303" i="1"/>
  <c r="B303" i="1"/>
  <c r="I319" i="1"/>
  <c r="G319" i="1"/>
  <c r="E319" i="1"/>
  <c r="J319" i="1"/>
  <c r="C319" i="1"/>
  <c r="J318" i="1"/>
  <c r="F318" i="1"/>
  <c r="B318" i="1"/>
  <c r="H318" i="1"/>
  <c r="J317" i="1"/>
  <c r="F317" i="1"/>
  <c r="B317" i="1"/>
  <c r="H317" i="1"/>
  <c r="J316" i="1"/>
  <c r="F316" i="1"/>
  <c r="B316" i="1"/>
  <c r="D316" i="1"/>
  <c r="J315" i="1"/>
  <c r="F315" i="1"/>
  <c r="B315" i="1"/>
  <c r="D315" i="1"/>
  <c r="H315" i="1"/>
  <c r="J314" i="1"/>
  <c r="F314" i="1"/>
  <c r="B314" i="1"/>
  <c r="I352" i="1"/>
  <c r="G352" i="1"/>
  <c r="E352" i="1"/>
  <c r="C352" i="1"/>
  <c r="J351" i="1"/>
  <c r="F351" i="1"/>
  <c r="B351" i="1"/>
  <c r="J350" i="1"/>
  <c r="F350" i="1"/>
  <c r="B350" i="1"/>
  <c r="J349" i="1"/>
  <c r="F349" i="1"/>
  <c r="B349" i="1"/>
  <c r="J348" i="1"/>
  <c r="F348" i="1"/>
  <c r="B348" i="1"/>
  <c r="J347" i="1"/>
  <c r="F347" i="1"/>
  <c r="B347" i="1"/>
  <c r="H347" i="1"/>
  <c r="I341" i="1"/>
  <c r="G341" i="1"/>
  <c r="E341" i="1"/>
  <c r="C341" i="1"/>
  <c r="J340" i="1"/>
  <c r="F340" i="1"/>
  <c r="B340" i="1"/>
  <c r="J339" i="1"/>
  <c r="F339" i="1"/>
  <c r="B339" i="1"/>
  <c r="J338" i="1"/>
  <c r="F338" i="1"/>
  <c r="B338" i="1"/>
  <c r="H338" i="1"/>
  <c r="J337" i="1"/>
  <c r="F337" i="1"/>
  <c r="B337" i="1"/>
  <c r="J336" i="1"/>
  <c r="F336" i="1"/>
  <c r="B336" i="1"/>
  <c r="H336" i="1"/>
  <c r="I330" i="1"/>
  <c r="G330" i="1"/>
  <c r="E330" i="1"/>
  <c r="J330" i="1"/>
  <c r="C330" i="1"/>
  <c r="J329" i="1"/>
  <c r="F329" i="1"/>
  <c r="B329" i="1"/>
  <c r="J328" i="1"/>
  <c r="F328" i="1"/>
  <c r="B328" i="1"/>
  <c r="J327" i="1"/>
  <c r="F327" i="1"/>
  <c r="B327" i="1"/>
  <c r="J326" i="1"/>
  <c r="F326" i="1"/>
  <c r="B326" i="1"/>
  <c r="D326" i="1"/>
  <c r="J325" i="1"/>
  <c r="F325" i="1"/>
  <c r="B325" i="1"/>
  <c r="H325" i="1"/>
  <c r="I363" i="1"/>
  <c r="G363" i="1"/>
  <c r="E363" i="1"/>
  <c r="J363" i="1"/>
  <c r="C363" i="1"/>
  <c r="J362" i="1"/>
  <c r="F362" i="1"/>
  <c r="B362" i="1"/>
  <c r="J361" i="1"/>
  <c r="F361" i="1"/>
  <c r="B361" i="1"/>
  <c r="H361" i="1"/>
  <c r="J360" i="1"/>
  <c r="F360" i="1"/>
  <c r="B360" i="1"/>
  <c r="H360" i="1"/>
  <c r="J359" i="1"/>
  <c r="F359" i="1"/>
  <c r="B359" i="1"/>
  <c r="J358" i="1"/>
  <c r="F358" i="1"/>
  <c r="B358" i="1"/>
  <c r="H358" i="1"/>
  <c r="E374" i="1"/>
  <c r="F374" i="1"/>
  <c r="I374" i="1"/>
  <c r="G374" i="1"/>
  <c r="C374" i="1"/>
  <c r="J373" i="1"/>
  <c r="F373" i="1"/>
  <c r="B373" i="1"/>
  <c r="H373" i="1"/>
  <c r="J372" i="1"/>
  <c r="F372" i="1"/>
  <c r="B372" i="1"/>
  <c r="D372" i="1"/>
  <c r="J371" i="1"/>
  <c r="F371" i="1"/>
  <c r="B371" i="1"/>
  <c r="J370" i="1"/>
  <c r="F370" i="1"/>
  <c r="B370" i="1"/>
  <c r="H370" i="1"/>
  <c r="J369" i="1"/>
  <c r="F369" i="1"/>
  <c r="B369" i="1"/>
  <c r="I385" i="1"/>
  <c r="G385" i="1"/>
  <c r="E385" i="1"/>
  <c r="J385" i="1"/>
  <c r="C385" i="1"/>
  <c r="J384" i="1"/>
  <c r="F384" i="1"/>
  <c r="B384" i="1"/>
  <c r="H384" i="1"/>
  <c r="J383" i="1"/>
  <c r="F383" i="1"/>
  <c r="B383" i="1"/>
  <c r="J382" i="1"/>
  <c r="F382" i="1"/>
  <c r="B382" i="1"/>
  <c r="J381" i="1"/>
  <c r="F381" i="1"/>
  <c r="B381" i="1"/>
  <c r="J380" i="1"/>
  <c r="F380" i="1"/>
  <c r="B380" i="1"/>
  <c r="D380" i="1"/>
  <c r="I396" i="1"/>
  <c r="G396" i="1"/>
  <c r="E396" i="1"/>
  <c r="C396" i="1"/>
  <c r="J395" i="1"/>
  <c r="F395" i="1"/>
  <c r="B395" i="1"/>
  <c r="J394" i="1"/>
  <c r="F394" i="1"/>
  <c r="B394" i="1"/>
  <c r="J393" i="1"/>
  <c r="F393" i="1"/>
  <c r="B393" i="1"/>
  <c r="J392" i="1"/>
  <c r="F392" i="1"/>
  <c r="B392" i="1"/>
  <c r="H392" i="1"/>
  <c r="J391" i="1"/>
  <c r="F391" i="1"/>
  <c r="B391" i="1"/>
  <c r="I407" i="1"/>
  <c r="G407" i="1"/>
  <c r="E407" i="1"/>
  <c r="F407" i="1"/>
  <c r="C407" i="1"/>
  <c r="J406" i="1"/>
  <c r="F406" i="1"/>
  <c r="B406" i="1"/>
  <c r="D406" i="1"/>
  <c r="J405" i="1"/>
  <c r="F405" i="1"/>
  <c r="B405" i="1"/>
  <c r="J404" i="1"/>
  <c r="F404" i="1"/>
  <c r="B404" i="1"/>
  <c r="J403" i="1"/>
  <c r="F403" i="1"/>
  <c r="B403" i="1"/>
  <c r="J402" i="1"/>
  <c r="F402" i="1"/>
  <c r="B402" i="1"/>
  <c r="H402" i="1"/>
  <c r="I418" i="1"/>
  <c r="G418" i="1"/>
  <c r="E418" i="1"/>
  <c r="C418" i="1"/>
  <c r="J417" i="1"/>
  <c r="F417" i="1"/>
  <c r="B417" i="1"/>
  <c r="J416" i="1"/>
  <c r="F416" i="1"/>
  <c r="B416" i="1"/>
  <c r="H416" i="1"/>
  <c r="J415" i="1"/>
  <c r="F415" i="1"/>
  <c r="B415" i="1"/>
  <c r="H415" i="1"/>
  <c r="J414" i="1"/>
  <c r="F414" i="1"/>
  <c r="B414" i="1"/>
  <c r="D414" i="1"/>
  <c r="J413" i="1"/>
  <c r="F413" i="1"/>
  <c r="B413" i="1"/>
  <c r="D413" i="1"/>
  <c r="I429" i="1"/>
  <c r="G429" i="1"/>
  <c r="E429" i="1"/>
  <c r="C429" i="1"/>
  <c r="J428" i="1"/>
  <c r="F428" i="1"/>
  <c r="B428" i="1"/>
  <c r="D428" i="1"/>
  <c r="J427" i="1"/>
  <c r="F427" i="1"/>
  <c r="B427" i="1"/>
  <c r="J426" i="1"/>
  <c r="F426" i="1"/>
  <c r="B426" i="1"/>
  <c r="J425" i="1"/>
  <c r="F425" i="1"/>
  <c r="B425" i="1"/>
  <c r="J424" i="1"/>
  <c r="F424" i="1"/>
  <c r="B424" i="1"/>
  <c r="I440" i="1"/>
  <c r="G440" i="1"/>
  <c r="E440" i="1"/>
  <c r="F440" i="1"/>
  <c r="C440" i="1"/>
  <c r="J439" i="1"/>
  <c r="F439" i="1"/>
  <c r="B439" i="1"/>
  <c r="J438" i="1"/>
  <c r="F438" i="1"/>
  <c r="B438" i="1"/>
  <c r="D438" i="1"/>
  <c r="J437" i="1"/>
  <c r="F437" i="1"/>
  <c r="B437" i="1"/>
  <c r="J436" i="1"/>
  <c r="F436" i="1"/>
  <c r="B436" i="1"/>
  <c r="J435" i="1"/>
  <c r="F435" i="1"/>
  <c r="B435" i="1"/>
  <c r="I451" i="1"/>
  <c r="G451" i="1"/>
  <c r="E451" i="1"/>
  <c r="C451" i="1"/>
  <c r="J450" i="1"/>
  <c r="F450" i="1"/>
  <c r="B450" i="1"/>
  <c r="J449" i="1"/>
  <c r="F449" i="1"/>
  <c r="B449" i="1"/>
  <c r="D449" i="1"/>
  <c r="J448" i="1"/>
  <c r="F448" i="1"/>
  <c r="B448" i="1"/>
  <c r="H448" i="1"/>
  <c r="J447" i="1"/>
  <c r="F447" i="1"/>
  <c r="B447" i="1"/>
  <c r="J446" i="1"/>
  <c r="F446" i="1"/>
  <c r="B446" i="1"/>
  <c r="I462" i="1"/>
  <c r="G462" i="1"/>
  <c r="E462" i="1"/>
  <c r="C462" i="1"/>
  <c r="J461" i="1"/>
  <c r="F461" i="1"/>
  <c r="B461" i="1"/>
  <c r="H461" i="1"/>
  <c r="J460" i="1"/>
  <c r="F460" i="1"/>
  <c r="B460" i="1"/>
  <c r="J459" i="1"/>
  <c r="F459" i="1"/>
  <c r="B459" i="1"/>
  <c r="H459" i="1"/>
  <c r="J458" i="1"/>
  <c r="F458" i="1"/>
  <c r="B458" i="1"/>
  <c r="D458" i="1"/>
  <c r="J457" i="1"/>
  <c r="F457" i="1"/>
  <c r="B457" i="1"/>
  <c r="H457" i="1"/>
  <c r="I473" i="1"/>
  <c r="G473" i="1"/>
  <c r="E473" i="1"/>
  <c r="F473" i="1"/>
  <c r="C473" i="1"/>
  <c r="J472" i="1"/>
  <c r="F472" i="1"/>
  <c r="B472" i="1"/>
  <c r="H472" i="1"/>
  <c r="J471" i="1"/>
  <c r="F471" i="1"/>
  <c r="B471" i="1"/>
  <c r="J470" i="1"/>
  <c r="F470" i="1"/>
  <c r="B470" i="1"/>
  <c r="J469" i="1"/>
  <c r="F469" i="1"/>
  <c r="B469" i="1"/>
  <c r="J468" i="1"/>
  <c r="F468" i="1"/>
  <c r="B468" i="1"/>
  <c r="B473" i="1"/>
  <c r="B479" i="1"/>
  <c r="D479" i="1"/>
  <c r="F479" i="1"/>
  <c r="J479" i="1"/>
  <c r="B480" i="1"/>
  <c r="F480" i="1"/>
  <c r="J480" i="1"/>
  <c r="B481" i="1"/>
  <c r="F481" i="1"/>
  <c r="J481" i="1"/>
  <c r="B482" i="1"/>
  <c r="F482" i="1"/>
  <c r="J482" i="1"/>
  <c r="B483" i="1"/>
  <c r="F483" i="1"/>
  <c r="J483" i="1"/>
  <c r="C484" i="1"/>
  <c r="E484" i="1"/>
  <c r="G484" i="1"/>
  <c r="I484" i="1"/>
  <c r="J484" i="1"/>
  <c r="I495" i="1"/>
  <c r="G495" i="1"/>
  <c r="E495" i="1"/>
  <c r="J495" i="1"/>
  <c r="C495" i="1"/>
  <c r="J494" i="1"/>
  <c r="F494" i="1"/>
  <c r="B494" i="1"/>
  <c r="J493" i="1"/>
  <c r="F493" i="1"/>
  <c r="B493" i="1"/>
  <c r="D493" i="1"/>
  <c r="J492" i="1"/>
  <c r="F492" i="1"/>
  <c r="B492" i="1"/>
  <c r="H492" i="1"/>
  <c r="J491" i="1"/>
  <c r="F491" i="1"/>
  <c r="B491" i="1"/>
  <c r="J490" i="1"/>
  <c r="F490" i="1"/>
  <c r="B490" i="1"/>
  <c r="I506" i="1"/>
  <c r="G506" i="1"/>
  <c r="E506" i="1"/>
  <c r="C506" i="1"/>
  <c r="J505" i="1"/>
  <c r="F505" i="1"/>
  <c r="B505" i="1"/>
  <c r="J504" i="1"/>
  <c r="F504" i="1"/>
  <c r="B504" i="1"/>
  <c r="J503" i="1"/>
  <c r="F503" i="1"/>
  <c r="B503" i="1"/>
  <c r="J502" i="1"/>
  <c r="F502" i="1"/>
  <c r="B502" i="1"/>
  <c r="J501" i="1"/>
  <c r="F501" i="1"/>
  <c r="B501" i="1"/>
  <c r="D501" i="1"/>
  <c r="C517" i="1"/>
  <c r="I517" i="1"/>
  <c r="J517" i="1"/>
  <c r="G517" i="1"/>
  <c r="E517" i="1"/>
  <c r="J516" i="1"/>
  <c r="F516" i="1"/>
  <c r="B516" i="1"/>
  <c r="J515" i="1"/>
  <c r="F515" i="1"/>
  <c r="B515" i="1"/>
  <c r="J514" i="1"/>
  <c r="F514" i="1"/>
  <c r="B514" i="1"/>
  <c r="J513" i="1"/>
  <c r="F513" i="1"/>
  <c r="B513" i="1"/>
  <c r="H513" i="1"/>
  <c r="J512" i="1"/>
  <c r="F512" i="1"/>
  <c r="B512" i="1"/>
  <c r="B523" i="1"/>
  <c r="F523" i="1"/>
  <c r="J523" i="1"/>
  <c r="B524" i="1"/>
  <c r="F524" i="1"/>
  <c r="J524" i="1"/>
  <c r="B525" i="1"/>
  <c r="H525" i="1"/>
  <c r="D525" i="1"/>
  <c r="F525" i="1"/>
  <c r="J525" i="1"/>
  <c r="B526" i="1"/>
  <c r="H526" i="1"/>
  <c r="F526" i="1"/>
  <c r="J526" i="1"/>
  <c r="B527" i="1"/>
  <c r="H527" i="1"/>
  <c r="F527" i="1"/>
  <c r="J527" i="1"/>
  <c r="C528" i="1"/>
  <c r="E528" i="1"/>
  <c r="G528" i="1"/>
  <c r="I528" i="1"/>
  <c r="I539" i="1"/>
  <c r="G539" i="1"/>
  <c r="E539" i="1"/>
  <c r="J539" i="1"/>
  <c r="C539" i="1"/>
  <c r="J538" i="1"/>
  <c r="F538" i="1"/>
  <c r="B538" i="1"/>
  <c r="J537" i="1"/>
  <c r="F537" i="1"/>
  <c r="B537" i="1"/>
  <c r="J536" i="1"/>
  <c r="F536" i="1"/>
  <c r="B536" i="1"/>
  <c r="J535" i="1"/>
  <c r="F535" i="1"/>
  <c r="B535" i="1"/>
  <c r="D535" i="1"/>
  <c r="J534" i="1"/>
  <c r="F534" i="1"/>
  <c r="B534" i="1"/>
  <c r="I550" i="1"/>
  <c r="G550" i="1"/>
  <c r="E550" i="1"/>
  <c r="C550" i="1"/>
  <c r="J549" i="1"/>
  <c r="F549" i="1"/>
  <c r="B549" i="1"/>
  <c r="D549" i="1"/>
  <c r="J548" i="1"/>
  <c r="F548" i="1"/>
  <c r="B548" i="1"/>
  <c r="D548" i="1"/>
  <c r="J547" i="1"/>
  <c r="F547" i="1"/>
  <c r="B547" i="1"/>
  <c r="J546" i="1"/>
  <c r="F546" i="1"/>
  <c r="B546" i="1"/>
  <c r="H546" i="1"/>
  <c r="J545" i="1"/>
  <c r="F545" i="1"/>
  <c r="B545" i="1"/>
  <c r="B556" i="1"/>
  <c r="F556" i="1"/>
  <c r="J556" i="1"/>
  <c r="B557" i="1"/>
  <c r="H557" i="1"/>
  <c r="F557" i="1"/>
  <c r="J557" i="1"/>
  <c r="B558" i="1"/>
  <c r="F558" i="1"/>
  <c r="J558" i="1"/>
  <c r="B559" i="1"/>
  <c r="F559" i="1"/>
  <c r="J559" i="1"/>
  <c r="B560" i="1"/>
  <c r="D560" i="1"/>
  <c r="F560" i="1"/>
  <c r="J560" i="1"/>
  <c r="C561" i="1"/>
  <c r="E561" i="1"/>
  <c r="G561" i="1"/>
  <c r="I561" i="1"/>
  <c r="J561" i="1"/>
  <c r="B568" i="1"/>
  <c r="H568" i="1"/>
  <c r="B569" i="1"/>
  <c r="H569" i="1"/>
  <c r="B570" i="1"/>
  <c r="D570" i="1"/>
  <c r="B571" i="1"/>
  <c r="H571" i="1"/>
  <c r="B567" i="1"/>
  <c r="I572" i="1"/>
  <c r="J572" i="1"/>
  <c r="G572" i="1"/>
  <c r="E572" i="1"/>
  <c r="C572" i="1"/>
  <c r="J571" i="1"/>
  <c r="F571" i="1"/>
  <c r="J570" i="1"/>
  <c r="F570" i="1"/>
  <c r="J569" i="1"/>
  <c r="F569" i="1"/>
  <c r="J568" i="1"/>
  <c r="F568" i="1"/>
  <c r="J567" i="1"/>
  <c r="F567" i="1"/>
  <c r="B578" i="1"/>
  <c r="F578" i="1"/>
  <c r="J578" i="1"/>
  <c r="B579" i="1"/>
  <c r="F579" i="1"/>
  <c r="J579" i="1"/>
  <c r="B580" i="1"/>
  <c r="F580" i="1"/>
  <c r="J580" i="1"/>
  <c r="B581" i="1"/>
  <c r="F581" i="1"/>
  <c r="J581" i="1"/>
  <c r="B582" i="1"/>
  <c r="D582" i="1"/>
  <c r="F582" i="1"/>
  <c r="J582" i="1"/>
  <c r="C583" i="1"/>
  <c r="E583" i="1"/>
  <c r="J583" i="1"/>
  <c r="G583" i="1"/>
  <c r="I583" i="1"/>
  <c r="I594" i="1"/>
  <c r="G594" i="1"/>
  <c r="E594" i="1"/>
  <c r="C594" i="1"/>
  <c r="J593" i="1"/>
  <c r="F593" i="1"/>
  <c r="B593" i="1"/>
  <c r="J592" i="1"/>
  <c r="F592" i="1"/>
  <c r="B592" i="1"/>
  <c r="J591" i="1"/>
  <c r="F591" i="1"/>
  <c r="B591" i="1"/>
  <c r="J590" i="1"/>
  <c r="F590" i="1"/>
  <c r="B590" i="1"/>
  <c r="J589" i="1"/>
  <c r="F589" i="1"/>
  <c r="B589" i="1"/>
  <c r="I605" i="1"/>
  <c r="J605" i="1"/>
  <c r="G605" i="1"/>
  <c r="E605" i="1"/>
  <c r="C605" i="1"/>
  <c r="J604" i="1"/>
  <c r="F604" i="1"/>
  <c r="B604" i="1"/>
  <c r="J603" i="1"/>
  <c r="F603" i="1"/>
  <c r="B603" i="1"/>
  <c r="J602" i="1"/>
  <c r="F602" i="1"/>
  <c r="B602" i="1"/>
  <c r="D602" i="1"/>
  <c r="J601" i="1"/>
  <c r="F601" i="1"/>
  <c r="B601" i="1"/>
  <c r="D601" i="1"/>
  <c r="J600" i="1"/>
  <c r="F600" i="1"/>
  <c r="B600" i="1"/>
  <c r="B612" i="1"/>
  <c r="B613" i="1"/>
  <c r="B614" i="1"/>
  <c r="H614" i="1"/>
  <c r="B615" i="1"/>
  <c r="B611" i="1"/>
  <c r="I616" i="1"/>
  <c r="G616" i="1"/>
  <c r="E616" i="1"/>
  <c r="C616" i="1"/>
  <c r="J615" i="1"/>
  <c r="F615" i="1"/>
  <c r="J614" i="1"/>
  <c r="F614" i="1"/>
  <c r="J613" i="1"/>
  <c r="F613" i="1"/>
  <c r="J612" i="1"/>
  <c r="F612" i="1"/>
  <c r="J611" i="1"/>
  <c r="F611" i="1"/>
  <c r="I627" i="1"/>
  <c r="J627" i="1"/>
  <c r="G627" i="1"/>
  <c r="H627" i="1"/>
  <c r="E627" i="1"/>
  <c r="C627" i="1"/>
  <c r="J626" i="1"/>
  <c r="F626" i="1"/>
  <c r="B626" i="1"/>
  <c r="H626" i="1"/>
  <c r="J625" i="1"/>
  <c r="F625" i="1"/>
  <c r="B625" i="1"/>
  <c r="H625" i="1"/>
  <c r="J624" i="1"/>
  <c r="F624" i="1"/>
  <c r="B624" i="1"/>
  <c r="J623" i="1"/>
  <c r="F623" i="1"/>
  <c r="B623" i="1"/>
  <c r="J622" i="1"/>
  <c r="F622" i="1"/>
  <c r="B622" i="1"/>
  <c r="I638" i="1"/>
  <c r="G638" i="1"/>
  <c r="E638" i="1"/>
  <c r="F638" i="1"/>
  <c r="C638" i="1"/>
  <c r="J637" i="1"/>
  <c r="F637" i="1"/>
  <c r="B637" i="1"/>
  <c r="D637" i="1"/>
  <c r="J636" i="1"/>
  <c r="F636" i="1"/>
  <c r="B636" i="1"/>
  <c r="H636" i="1"/>
  <c r="J635" i="1"/>
  <c r="F635" i="1"/>
  <c r="B635" i="1"/>
  <c r="H635" i="1"/>
  <c r="J634" i="1"/>
  <c r="F634" i="1"/>
  <c r="B634" i="1"/>
  <c r="B638" i="1"/>
  <c r="D638" i="1"/>
  <c r="J633" i="1"/>
  <c r="F633" i="1"/>
  <c r="B633" i="1"/>
  <c r="I649" i="1"/>
  <c r="J649" i="1"/>
  <c r="G649" i="1"/>
  <c r="E649" i="1"/>
  <c r="F649" i="1"/>
  <c r="C649" i="1"/>
  <c r="J648" i="1"/>
  <c r="F648" i="1"/>
  <c r="B648" i="1"/>
  <c r="J647" i="1"/>
  <c r="F647" i="1"/>
  <c r="B647" i="1"/>
  <c r="J646" i="1"/>
  <c r="F646" i="1"/>
  <c r="B646" i="1"/>
  <c r="J645" i="1"/>
  <c r="F645" i="1"/>
  <c r="B645" i="1"/>
  <c r="J644" i="1"/>
  <c r="F644" i="1"/>
  <c r="B644" i="1"/>
  <c r="H644" i="1"/>
  <c r="B656" i="1"/>
  <c r="B657" i="1"/>
  <c r="B658" i="1"/>
  <c r="H658" i="1"/>
  <c r="B659" i="1"/>
  <c r="B655" i="1"/>
  <c r="I660" i="1"/>
  <c r="G660" i="1"/>
  <c r="E660" i="1"/>
  <c r="C660" i="1"/>
  <c r="J659" i="1"/>
  <c r="F659" i="1"/>
  <c r="J658" i="1"/>
  <c r="F658" i="1"/>
  <c r="J657" i="1"/>
  <c r="F657" i="1"/>
  <c r="J656" i="1"/>
  <c r="F656" i="1"/>
  <c r="J655" i="1"/>
  <c r="F655" i="1"/>
  <c r="B667" i="1"/>
  <c r="B668" i="1"/>
  <c r="D668" i="1"/>
  <c r="B669" i="1"/>
  <c r="H669" i="1"/>
  <c r="B670" i="1"/>
  <c r="H670" i="1"/>
  <c r="B666" i="1"/>
  <c r="I671" i="1"/>
  <c r="G671" i="1"/>
  <c r="E671" i="1"/>
  <c r="C671" i="1"/>
  <c r="J670" i="1"/>
  <c r="F670" i="1"/>
  <c r="J669" i="1"/>
  <c r="F669" i="1"/>
  <c r="J668" i="1"/>
  <c r="F668" i="1"/>
  <c r="J667" i="1"/>
  <c r="F667" i="1"/>
  <c r="J666" i="1"/>
  <c r="F666" i="1"/>
  <c r="B677" i="1"/>
  <c r="F677" i="1"/>
  <c r="J677" i="1"/>
  <c r="B678" i="1"/>
  <c r="F678" i="1"/>
  <c r="J678" i="1"/>
  <c r="B679" i="1"/>
  <c r="H679" i="1"/>
  <c r="F679" i="1"/>
  <c r="J679" i="1"/>
  <c r="B680" i="1"/>
  <c r="F680" i="1"/>
  <c r="J680" i="1"/>
  <c r="B681" i="1"/>
  <c r="H681" i="1"/>
  <c r="F681" i="1"/>
  <c r="J681" i="1"/>
  <c r="C682" i="1"/>
  <c r="E682" i="1"/>
  <c r="G682" i="1"/>
  <c r="I682" i="1"/>
  <c r="B689" i="1"/>
  <c r="B690" i="1"/>
  <c r="D690" i="1"/>
  <c r="B691" i="1"/>
  <c r="B692" i="1"/>
  <c r="H692" i="1"/>
  <c r="B688" i="1"/>
  <c r="I693" i="1"/>
  <c r="G693" i="1"/>
  <c r="E693" i="1"/>
  <c r="C693" i="1"/>
  <c r="J692" i="1"/>
  <c r="F692" i="1"/>
  <c r="J691" i="1"/>
  <c r="F691" i="1"/>
  <c r="J690" i="1"/>
  <c r="F690" i="1"/>
  <c r="J689" i="1"/>
  <c r="F689" i="1"/>
  <c r="J688" i="1"/>
  <c r="F688" i="1"/>
  <c r="B700" i="1"/>
  <c r="B704" i="1"/>
  <c r="B701" i="1"/>
  <c r="B702" i="1"/>
  <c r="D702" i="1"/>
  <c r="B703" i="1"/>
  <c r="B699" i="1"/>
  <c r="D699" i="1"/>
  <c r="H699" i="1"/>
  <c r="I704" i="1"/>
  <c r="G704" i="1"/>
  <c r="E704" i="1"/>
  <c r="J704" i="1"/>
  <c r="C704" i="1"/>
  <c r="J703" i="1"/>
  <c r="F703" i="1"/>
  <c r="J702" i="1"/>
  <c r="F702" i="1"/>
  <c r="J701" i="1"/>
  <c r="F701" i="1"/>
  <c r="J700" i="1"/>
  <c r="F700" i="1"/>
  <c r="J699" i="1"/>
  <c r="F699" i="1"/>
  <c r="B711" i="1"/>
  <c r="H711" i="1"/>
  <c r="B712" i="1"/>
  <c r="H712" i="1"/>
  <c r="B713" i="1"/>
  <c r="D713" i="1"/>
  <c r="B714" i="1"/>
  <c r="B710" i="1"/>
  <c r="I715" i="1"/>
  <c r="J715" i="1"/>
  <c r="G715" i="1"/>
  <c r="E715" i="1"/>
  <c r="C715" i="1"/>
  <c r="J714" i="1"/>
  <c r="F714" i="1"/>
  <c r="J713" i="1"/>
  <c r="F713" i="1"/>
  <c r="J712" i="1"/>
  <c r="F712" i="1"/>
  <c r="J711" i="1"/>
  <c r="F711" i="1"/>
  <c r="J710" i="1"/>
  <c r="F710" i="1"/>
  <c r="B722" i="1"/>
  <c r="B723" i="1"/>
  <c r="B724" i="1"/>
  <c r="D724" i="1"/>
  <c r="B725" i="1"/>
  <c r="B721" i="1"/>
  <c r="H721" i="1"/>
  <c r="I726" i="1"/>
  <c r="G726" i="1"/>
  <c r="E726" i="1"/>
  <c r="F726" i="1"/>
  <c r="C726" i="1"/>
  <c r="J725" i="1"/>
  <c r="F725" i="1"/>
  <c r="J724" i="1"/>
  <c r="F724" i="1"/>
  <c r="J723" i="1"/>
  <c r="F723" i="1"/>
  <c r="J722" i="1"/>
  <c r="F722" i="1"/>
  <c r="J721" i="1"/>
  <c r="F721" i="1"/>
  <c r="B733" i="1"/>
  <c r="B734" i="1"/>
  <c r="B735" i="1"/>
  <c r="D735" i="1"/>
  <c r="H735" i="1"/>
  <c r="B736" i="1"/>
  <c r="B732" i="1"/>
  <c r="D732" i="1"/>
  <c r="I737" i="1"/>
  <c r="G737" i="1"/>
  <c r="E737" i="1"/>
  <c r="C737" i="1"/>
  <c r="J736" i="1"/>
  <c r="F736" i="1"/>
  <c r="J735" i="1"/>
  <c r="F735" i="1"/>
  <c r="J734" i="1"/>
  <c r="F734" i="1"/>
  <c r="J733" i="1"/>
  <c r="F733" i="1"/>
  <c r="J732" i="1"/>
  <c r="F732" i="1"/>
  <c r="I748" i="1"/>
  <c r="G748" i="1"/>
  <c r="E748" i="1"/>
  <c r="F748" i="1"/>
  <c r="C748" i="1"/>
  <c r="J747" i="1"/>
  <c r="F747" i="1"/>
  <c r="B747" i="1"/>
  <c r="J746" i="1"/>
  <c r="F746" i="1"/>
  <c r="B746" i="1"/>
  <c r="J745" i="1"/>
  <c r="F745" i="1"/>
  <c r="B745" i="1"/>
  <c r="D745" i="1"/>
  <c r="J744" i="1"/>
  <c r="F744" i="1"/>
  <c r="B744" i="1"/>
  <c r="D744" i="1"/>
  <c r="J743" i="1"/>
  <c r="F743" i="1"/>
  <c r="B743" i="1"/>
  <c r="H743" i="1"/>
  <c r="B755" i="1"/>
  <c r="H755" i="1"/>
  <c r="B756" i="1"/>
  <c r="D756" i="1"/>
  <c r="B757" i="1"/>
  <c r="B758" i="1"/>
  <c r="B754" i="1"/>
  <c r="H754" i="1"/>
  <c r="I759" i="1"/>
  <c r="G759" i="1"/>
  <c r="E759" i="1"/>
  <c r="C759" i="1"/>
  <c r="J758" i="1"/>
  <c r="F758" i="1"/>
  <c r="J757" i="1"/>
  <c r="F757" i="1"/>
  <c r="J756" i="1"/>
  <c r="F756" i="1"/>
  <c r="J755" i="1"/>
  <c r="F755" i="1"/>
  <c r="J754" i="1"/>
  <c r="F754" i="1"/>
  <c r="B766" i="1"/>
  <c r="H766" i="1"/>
  <c r="B767" i="1"/>
  <c r="H767" i="1"/>
  <c r="B768" i="1"/>
  <c r="H768" i="1"/>
  <c r="B769" i="1"/>
  <c r="B765" i="1"/>
  <c r="I770" i="1"/>
  <c r="G770" i="1"/>
  <c r="E770" i="1"/>
  <c r="C770" i="1"/>
  <c r="J769" i="1"/>
  <c r="F769" i="1"/>
  <c r="J768" i="1"/>
  <c r="F768" i="1"/>
  <c r="J767" i="1"/>
  <c r="F767" i="1"/>
  <c r="J766" i="1"/>
  <c r="F766" i="1"/>
  <c r="J765" i="1"/>
  <c r="F765" i="1"/>
  <c r="B778" i="1"/>
  <c r="B779" i="1"/>
  <c r="H779" i="1"/>
  <c r="B780" i="1"/>
  <c r="H780" i="1"/>
  <c r="B777" i="1"/>
  <c r="D777" i="1"/>
  <c r="B776" i="1"/>
  <c r="D776" i="1"/>
  <c r="I781" i="1"/>
  <c r="G781" i="1"/>
  <c r="E781" i="1"/>
  <c r="C781" i="1"/>
  <c r="J780" i="1"/>
  <c r="F780" i="1"/>
  <c r="J779" i="1"/>
  <c r="F779" i="1"/>
  <c r="J778" i="1"/>
  <c r="F778" i="1"/>
  <c r="J777" i="1"/>
  <c r="F777" i="1"/>
  <c r="J776" i="1"/>
  <c r="F776" i="1"/>
  <c r="B787" i="1"/>
  <c r="D787" i="1"/>
  <c r="F787" i="1"/>
  <c r="J787" i="1"/>
  <c r="B788" i="1"/>
  <c r="F788" i="1"/>
  <c r="J788" i="1"/>
  <c r="B789" i="1"/>
  <c r="D789" i="1"/>
  <c r="F789" i="1"/>
  <c r="J789" i="1"/>
  <c r="B790" i="1"/>
  <c r="D790" i="1"/>
  <c r="F790" i="1"/>
  <c r="J790" i="1"/>
  <c r="B791" i="1"/>
  <c r="F791" i="1"/>
  <c r="J791" i="1"/>
  <c r="C792" i="1"/>
  <c r="E792" i="1"/>
  <c r="G792" i="1"/>
  <c r="I792" i="1"/>
  <c r="B798" i="1"/>
  <c r="H798" i="1"/>
  <c r="F798" i="1"/>
  <c r="J798" i="1"/>
  <c r="B799" i="1"/>
  <c r="D799" i="1"/>
  <c r="F799" i="1"/>
  <c r="J799" i="1"/>
  <c r="B800" i="1"/>
  <c r="H800" i="1"/>
  <c r="F800" i="1"/>
  <c r="J800" i="1"/>
  <c r="B801" i="1"/>
  <c r="D801" i="1"/>
  <c r="F801" i="1"/>
  <c r="J801" i="1"/>
  <c r="B802" i="1"/>
  <c r="F802" i="1"/>
  <c r="J802" i="1"/>
  <c r="C803" i="1"/>
  <c r="E803" i="1"/>
  <c r="G803" i="1"/>
  <c r="I803" i="1"/>
  <c r="B809" i="1"/>
  <c r="F809" i="1"/>
  <c r="J809" i="1"/>
  <c r="B810" i="1"/>
  <c r="F810" i="1"/>
  <c r="J810" i="1"/>
  <c r="B811" i="1"/>
  <c r="H811" i="1"/>
  <c r="F811" i="1"/>
  <c r="J811" i="1"/>
  <c r="B812" i="1"/>
  <c r="D812" i="1"/>
  <c r="F812" i="1"/>
  <c r="J812" i="1"/>
  <c r="B813" i="1"/>
  <c r="D813" i="1"/>
  <c r="F813" i="1"/>
  <c r="J813" i="1"/>
  <c r="C814" i="1"/>
  <c r="E814" i="1"/>
  <c r="G814" i="1"/>
  <c r="I814" i="1"/>
  <c r="J814" i="1"/>
  <c r="B820" i="1"/>
  <c r="F820" i="1"/>
  <c r="J820" i="1"/>
  <c r="B821" i="1"/>
  <c r="F821" i="1"/>
  <c r="J821" i="1"/>
  <c r="B822" i="1"/>
  <c r="F822" i="1"/>
  <c r="J822" i="1"/>
  <c r="B823" i="1"/>
  <c r="H823" i="1"/>
  <c r="F823" i="1"/>
  <c r="J823" i="1"/>
  <c r="B824" i="1"/>
  <c r="F824" i="1"/>
  <c r="J824" i="1"/>
  <c r="C825" i="1"/>
  <c r="E825" i="1"/>
  <c r="G825" i="1"/>
  <c r="I825" i="1"/>
  <c r="B831" i="1"/>
  <c r="H831" i="1"/>
  <c r="F831" i="1"/>
  <c r="J831" i="1"/>
  <c r="B832" i="1"/>
  <c r="F832" i="1"/>
  <c r="J832" i="1"/>
  <c r="B833" i="1"/>
  <c r="H833" i="1"/>
  <c r="F833" i="1"/>
  <c r="J833" i="1"/>
  <c r="M679" i="1"/>
  <c r="B834" i="1"/>
  <c r="F834" i="1"/>
  <c r="J834" i="1"/>
  <c r="B835" i="1"/>
  <c r="H835" i="1"/>
  <c r="F835" i="1"/>
  <c r="J835" i="1"/>
  <c r="C836" i="1"/>
  <c r="E836" i="1"/>
  <c r="G836" i="1"/>
  <c r="I836" i="1"/>
  <c r="B842" i="1"/>
  <c r="F842" i="1"/>
  <c r="J842" i="1"/>
  <c r="B843" i="1"/>
  <c r="F843" i="1"/>
  <c r="J843" i="1"/>
  <c r="B844" i="1"/>
  <c r="H844" i="1"/>
  <c r="F844" i="1"/>
  <c r="J844" i="1"/>
  <c r="M690" i="1"/>
  <c r="B845" i="1"/>
  <c r="F845" i="1"/>
  <c r="J845" i="1"/>
  <c r="B846" i="1"/>
  <c r="D846" i="1"/>
  <c r="F846" i="1"/>
  <c r="J846" i="1"/>
  <c r="C847" i="1"/>
  <c r="E847" i="1"/>
  <c r="F847" i="1"/>
  <c r="G847" i="1"/>
  <c r="I847" i="1"/>
  <c r="B853" i="1"/>
  <c r="F853" i="1"/>
  <c r="J853" i="1"/>
  <c r="B854" i="1"/>
  <c r="D854" i="1"/>
  <c r="F854" i="1"/>
  <c r="J854" i="1"/>
  <c r="B855" i="1"/>
  <c r="H855" i="1"/>
  <c r="F855" i="1"/>
  <c r="J855" i="1"/>
  <c r="M701" i="1"/>
  <c r="B856" i="1"/>
  <c r="D856" i="1"/>
  <c r="F856" i="1"/>
  <c r="J856" i="1"/>
  <c r="B857" i="1"/>
  <c r="D857" i="1"/>
  <c r="F857" i="1"/>
  <c r="J857" i="1"/>
  <c r="C858" i="1"/>
  <c r="E858" i="1"/>
  <c r="G858" i="1"/>
  <c r="I858" i="1"/>
  <c r="J858" i="1"/>
  <c r="B864" i="1"/>
  <c r="F864" i="1"/>
  <c r="J864" i="1"/>
  <c r="B865" i="1"/>
  <c r="F865" i="1"/>
  <c r="J865" i="1"/>
  <c r="B866" i="1"/>
  <c r="D866" i="1"/>
  <c r="F866" i="1"/>
  <c r="J866" i="1"/>
  <c r="M712" i="1"/>
  <c r="B867" i="1"/>
  <c r="D867" i="1"/>
  <c r="F867" i="1"/>
  <c r="J867" i="1"/>
  <c r="B868" i="1"/>
  <c r="D868" i="1"/>
  <c r="F868" i="1"/>
  <c r="J868" i="1"/>
  <c r="C869" i="1"/>
  <c r="E869" i="1"/>
  <c r="G869" i="1"/>
  <c r="I869" i="1"/>
  <c r="B875" i="1"/>
  <c r="F875" i="1"/>
  <c r="J875" i="1"/>
  <c r="B876" i="1"/>
  <c r="H876" i="1"/>
  <c r="F876" i="1"/>
  <c r="J876" i="1"/>
  <c r="B877" i="1"/>
  <c r="D877" i="1"/>
  <c r="F877" i="1"/>
  <c r="J877" i="1"/>
  <c r="B878" i="1"/>
  <c r="F878" i="1"/>
  <c r="J878" i="1"/>
  <c r="B879" i="1"/>
  <c r="F879" i="1"/>
  <c r="J879" i="1"/>
  <c r="C880" i="1"/>
  <c r="E880" i="1"/>
  <c r="G880" i="1"/>
  <c r="I880" i="1"/>
  <c r="J880" i="1"/>
  <c r="B886" i="1"/>
  <c r="F886" i="1"/>
  <c r="J886" i="1"/>
  <c r="B887" i="1"/>
  <c r="H887" i="1"/>
  <c r="F887" i="1"/>
  <c r="J887" i="1"/>
  <c r="B888" i="1"/>
  <c r="F888" i="1"/>
  <c r="J888" i="1"/>
  <c r="B889" i="1"/>
  <c r="D889" i="1"/>
  <c r="F889" i="1"/>
  <c r="J889" i="1"/>
  <c r="B890" i="1"/>
  <c r="H890" i="1"/>
  <c r="F890" i="1"/>
  <c r="J890" i="1"/>
  <c r="C891" i="1"/>
  <c r="E891" i="1"/>
  <c r="G891" i="1"/>
  <c r="I891" i="1"/>
  <c r="F891" i="1"/>
  <c r="D897" i="1"/>
  <c r="F897" i="1"/>
  <c r="H897" i="1"/>
  <c r="J897" i="1"/>
  <c r="D898" i="1"/>
  <c r="F898" i="1"/>
  <c r="H898" i="1"/>
  <c r="J898" i="1"/>
  <c r="D899" i="1"/>
  <c r="F899" i="1"/>
  <c r="H899" i="1"/>
  <c r="J899" i="1"/>
  <c r="D900" i="1"/>
  <c r="F900" i="1"/>
  <c r="H900" i="1"/>
  <c r="J900" i="1"/>
  <c r="D901" i="1"/>
  <c r="F901" i="1"/>
  <c r="H901" i="1"/>
  <c r="J901" i="1"/>
  <c r="B902" i="1"/>
  <c r="C902" i="1"/>
  <c r="E902" i="1"/>
  <c r="G902" i="1"/>
  <c r="H902" i="1"/>
  <c r="I902" i="1"/>
  <c r="B908" i="1"/>
  <c r="F908" i="1"/>
  <c r="J908" i="1"/>
  <c r="B909" i="1"/>
  <c r="F909" i="1"/>
  <c r="J909" i="1"/>
  <c r="B910" i="1"/>
  <c r="D910" i="1"/>
  <c r="F910" i="1"/>
  <c r="J910" i="1"/>
  <c r="B911" i="1"/>
  <c r="F911" i="1"/>
  <c r="J911" i="1"/>
  <c r="B912" i="1"/>
  <c r="F912" i="1"/>
  <c r="J912" i="1"/>
  <c r="C913" i="1"/>
  <c r="E913" i="1"/>
  <c r="F913" i="1"/>
  <c r="G913" i="1"/>
  <c r="I913" i="1"/>
  <c r="B919" i="1"/>
  <c r="D919" i="1"/>
  <c r="F919" i="1"/>
  <c r="J919" i="1"/>
  <c r="B920" i="1"/>
  <c r="B924" i="1"/>
  <c r="D924" i="1"/>
  <c r="F920" i="1"/>
  <c r="J920" i="1"/>
  <c r="B921" i="1"/>
  <c r="D921" i="1"/>
  <c r="F921" i="1"/>
  <c r="J921" i="1"/>
  <c r="B922" i="1"/>
  <c r="D922" i="1"/>
  <c r="F922" i="1"/>
  <c r="J922" i="1"/>
  <c r="B923" i="1"/>
  <c r="F923" i="1"/>
  <c r="J923" i="1"/>
  <c r="C924" i="1"/>
  <c r="E924" i="1"/>
  <c r="F924" i="1"/>
  <c r="G924" i="1"/>
  <c r="I924" i="1"/>
  <c r="J924" i="1"/>
  <c r="B930" i="1"/>
  <c r="D930" i="1"/>
  <c r="F930" i="1"/>
  <c r="J930" i="1"/>
  <c r="B931" i="1"/>
  <c r="F931" i="1"/>
  <c r="J931" i="1"/>
  <c r="B932" i="1"/>
  <c r="F932" i="1"/>
  <c r="J932" i="1"/>
  <c r="B933" i="1"/>
  <c r="F933" i="1"/>
  <c r="J933" i="1"/>
  <c r="B934" i="1"/>
  <c r="F934" i="1"/>
  <c r="J934" i="1"/>
  <c r="C935" i="1"/>
  <c r="E935" i="1"/>
  <c r="G935" i="1"/>
  <c r="I935" i="1"/>
  <c r="B941" i="1"/>
  <c r="H941" i="1"/>
  <c r="F941" i="1"/>
  <c r="J941" i="1"/>
  <c r="B942" i="1"/>
  <c r="F942" i="1"/>
  <c r="J942" i="1"/>
  <c r="B943" i="1"/>
  <c r="H943" i="1"/>
  <c r="D943" i="1"/>
  <c r="F943" i="1"/>
  <c r="J943" i="1"/>
  <c r="B944" i="1"/>
  <c r="D944" i="1"/>
  <c r="F944" i="1"/>
  <c r="J944" i="1"/>
  <c r="B945" i="1"/>
  <c r="D945" i="1"/>
  <c r="F945" i="1"/>
  <c r="J945" i="1"/>
  <c r="C946" i="1"/>
  <c r="E946" i="1"/>
  <c r="G946" i="1"/>
  <c r="I946" i="1"/>
  <c r="B952" i="1"/>
  <c r="F952" i="1"/>
  <c r="J952" i="1"/>
  <c r="B953" i="1"/>
  <c r="F953" i="1"/>
  <c r="J953" i="1"/>
  <c r="B954" i="1"/>
  <c r="D954" i="1"/>
  <c r="F954" i="1"/>
  <c r="J954" i="1"/>
  <c r="M800" i="1"/>
  <c r="B955" i="1"/>
  <c r="F955" i="1"/>
  <c r="J955" i="1"/>
  <c r="B956" i="1"/>
  <c r="D956" i="1"/>
  <c r="F956" i="1"/>
  <c r="J956" i="1"/>
  <c r="C957" i="1"/>
  <c r="E957" i="1"/>
  <c r="F957" i="1"/>
  <c r="G957" i="1"/>
  <c r="I957" i="1"/>
  <c r="D963" i="1"/>
  <c r="F963" i="1"/>
  <c r="H963" i="1"/>
  <c r="J963" i="1"/>
  <c r="D964" i="1"/>
  <c r="F964" i="1"/>
  <c r="H964" i="1"/>
  <c r="J964" i="1"/>
  <c r="D965" i="1"/>
  <c r="F965" i="1"/>
  <c r="H965" i="1"/>
  <c r="J965" i="1"/>
  <c r="M811" i="1"/>
  <c r="D966" i="1"/>
  <c r="F966" i="1"/>
  <c r="H966" i="1"/>
  <c r="J966" i="1"/>
  <c r="D967" i="1"/>
  <c r="F967" i="1"/>
  <c r="H967" i="1"/>
  <c r="J967" i="1"/>
  <c r="B968" i="1"/>
  <c r="H968" i="1"/>
  <c r="C968" i="1"/>
  <c r="E968" i="1"/>
  <c r="G968" i="1"/>
  <c r="I968" i="1"/>
  <c r="F968" i="1"/>
  <c r="D975" i="1"/>
  <c r="F975" i="1"/>
  <c r="H975" i="1"/>
  <c r="J975" i="1"/>
  <c r="D976" i="1"/>
  <c r="F976" i="1"/>
  <c r="H976" i="1"/>
  <c r="J976" i="1"/>
  <c r="D977" i="1"/>
  <c r="F977" i="1"/>
  <c r="H977" i="1"/>
  <c r="J977" i="1"/>
  <c r="D978" i="1"/>
  <c r="F978" i="1"/>
  <c r="H978" i="1"/>
  <c r="J978" i="1"/>
  <c r="D979" i="1"/>
  <c r="F979" i="1"/>
  <c r="H979" i="1"/>
  <c r="J979" i="1"/>
  <c r="B980" i="1"/>
  <c r="C980" i="1"/>
  <c r="E980" i="1"/>
  <c r="G980" i="1"/>
  <c r="H980" i="1"/>
  <c r="I980" i="1"/>
  <c r="J980" i="1"/>
  <c r="D986" i="1"/>
  <c r="F986" i="1"/>
  <c r="H986" i="1"/>
  <c r="J986" i="1"/>
  <c r="D987" i="1"/>
  <c r="F987" i="1"/>
  <c r="H987" i="1"/>
  <c r="J987" i="1"/>
  <c r="D988" i="1"/>
  <c r="F988" i="1"/>
  <c r="H988" i="1"/>
  <c r="J988" i="1"/>
  <c r="D989" i="1"/>
  <c r="F989" i="1"/>
  <c r="H989" i="1"/>
  <c r="J989" i="1"/>
  <c r="D990" i="1"/>
  <c r="F990" i="1"/>
  <c r="H990" i="1"/>
  <c r="J990" i="1"/>
  <c r="B991" i="1"/>
  <c r="C991" i="1"/>
  <c r="E991" i="1"/>
  <c r="G991" i="1"/>
  <c r="H991" i="1"/>
  <c r="I991" i="1"/>
  <c r="D997" i="1"/>
  <c r="F997" i="1"/>
  <c r="H997" i="1"/>
  <c r="J997" i="1"/>
  <c r="D998" i="1"/>
  <c r="F998" i="1"/>
  <c r="H998" i="1"/>
  <c r="J998" i="1"/>
  <c r="D999" i="1"/>
  <c r="F999" i="1"/>
  <c r="H999" i="1"/>
  <c r="J999" i="1"/>
  <c r="D1000" i="1"/>
  <c r="F1000" i="1"/>
  <c r="H1000" i="1"/>
  <c r="J1000" i="1"/>
  <c r="D1001" i="1"/>
  <c r="F1001" i="1"/>
  <c r="H1001" i="1"/>
  <c r="J1001" i="1"/>
  <c r="B1002" i="1"/>
  <c r="D1002" i="1"/>
  <c r="C1002" i="1"/>
  <c r="E1002" i="1"/>
  <c r="G1002" i="1"/>
  <c r="I1002" i="1"/>
  <c r="J1002" i="1"/>
  <c r="D1008" i="1"/>
  <c r="F1008" i="1"/>
  <c r="H1008" i="1"/>
  <c r="J1008" i="1"/>
  <c r="D1009" i="1"/>
  <c r="F1009" i="1"/>
  <c r="H1009" i="1"/>
  <c r="J1009" i="1"/>
  <c r="D1010" i="1"/>
  <c r="F1010" i="1"/>
  <c r="H1010" i="1"/>
  <c r="J1010" i="1"/>
  <c r="M856" i="1"/>
  <c r="D1011" i="1"/>
  <c r="F1011" i="1"/>
  <c r="H1011" i="1"/>
  <c r="J1011" i="1"/>
  <c r="D1012" i="1"/>
  <c r="F1012" i="1"/>
  <c r="H1012" i="1"/>
  <c r="J1012" i="1"/>
  <c r="B1013" i="1"/>
  <c r="C1013" i="1"/>
  <c r="D1013" i="1"/>
  <c r="E1013" i="1"/>
  <c r="F1013" i="1"/>
  <c r="G1013" i="1"/>
  <c r="I1013" i="1"/>
  <c r="J1013" i="1"/>
  <c r="D1019" i="1"/>
  <c r="F1019" i="1"/>
  <c r="H1019" i="1"/>
  <c r="J1019" i="1"/>
  <c r="D1020" i="1"/>
  <c r="F1020" i="1"/>
  <c r="H1020" i="1"/>
  <c r="J1020" i="1"/>
  <c r="D1021" i="1"/>
  <c r="F1021" i="1"/>
  <c r="H1021" i="1"/>
  <c r="J1021" i="1"/>
  <c r="D1022" i="1"/>
  <c r="F1022" i="1"/>
  <c r="H1022" i="1"/>
  <c r="J1022" i="1"/>
  <c r="D1023" i="1"/>
  <c r="F1023" i="1"/>
  <c r="H1023" i="1"/>
  <c r="J1023" i="1"/>
  <c r="B1024" i="1"/>
  <c r="C1024" i="1"/>
  <c r="E1024" i="1"/>
  <c r="G1024" i="1"/>
  <c r="H1024" i="1"/>
  <c r="I1024" i="1"/>
  <c r="J1024" i="1"/>
  <c r="D1030" i="1"/>
  <c r="F1030" i="1"/>
  <c r="H1030" i="1"/>
  <c r="J1030" i="1"/>
  <c r="D1031" i="1"/>
  <c r="F1031" i="1"/>
  <c r="H1031" i="1"/>
  <c r="J1031" i="1"/>
  <c r="D1032" i="1"/>
  <c r="F1032" i="1"/>
  <c r="H1032" i="1"/>
  <c r="J1032" i="1"/>
  <c r="D1033" i="1"/>
  <c r="F1033" i="1"/>
  <c r="H1033" i="1"/>
  <c r="J1033" i="1"/>
  <c r="D1034" i="1"/>
  <c r="F1034" i="1"/>
  <c r="H1034" i="1"/>
  <c r="J1034" i="1"/>
  <c r="B1035" i="1"/>
  <c r="C1035" i="1"/>
  <c r="D1035" i="1"/>
  <c r="E1035" i="1"/>
  <c r="G1035" i="1"/>
  <c r="H1035" i="1"/>
  <c r="I1035" i="1"/>
  <c r="J1035" i="1"/>
  <c r="D1041" i="1"/>
  <c r="F1041" i="1"/>
  <c r="H1041" i="1"/>
  <c r="J1041" i="1"/>
  <c r="D1042" i="1"/>
  <c r="F1042" i="1"/>
  <c r="H1042" i="1"/>
  <c r="J1042" i="1"/>
  <c r="D1043" i="1"/>
  <c r="F1043" i="1"/>
  <c r="H1043" i="1"/>
  <c r="J1043" i="1"/>
  <c r="D1044" i="1"/>
  <c r="F1044" i="1"/>
  <c r="H1044" i="1"/>
  <c r="J1044" i="1"/>
  <c r="D1045" i="1"/>
  <c r="F1045" i="1"/>
  <c r="H1045" i="1"/>
  <c r="J1045" i="1"/>
  <c r="B1046" i="1"/>
  <c r="C1046" i="1"/>
  <c r="E1046" i="1"/>
  <c r="M789" i="1"/>
  <c r="G1046" i="1"/>
  <c r="I1046" i="1"/>
  <c r="J1046" i="1"/>
  <c r="D1052" i="1"/>
  <c r="F1052" i="1"/>
  <c r="H1052" i="1"/>
  <c r="J1052" i="1"/>
  <c r="D1053" i="1"/>
  <c r="F1053" i="1"/>
  <c r="H1053" i="1"/>
  <c r="J1053" i="1"/>
  <c r="D1054" i="1"/>
  <c r="F1054" i="1"/>
  <c r="H1054" i="1"/>
  <c r="J1054" i="1"/>
  <c r="D1055" i="1"/>
  <c r="F1055" i="1"/>
  <c r="H1055" i="1"/>
  <c r="J1055" i="1"/>
  <c r="D1056" i="1"/>
  <c r="F1056" i="1"/>
  <c r="H1056" i="1"/>
  <c r="J1056" i="1"/>
  <c r="B1057" i="1"/>
  <c r="C1057" i="1"/>
  <c r="E1057" i="1"/>
  <c r="F1057" i="1"/>
  <c r="G1057" i="1"/>
  <c r="I1057" i="1"/>
  <c r="J1057" i="1"/>
  <c r="D1063" i="1"/>
  <c r="G1063" i="1"/>
  <c r="H1063" i="1"/>
  <c r="I1063" i="1"/>
  <c r="D1064" i="1"/>
  <c r="F1064" i="1"/>
  <c r="G1064" i="1"/>
  <c r="H1064" i="1"/>
  <c r="J1064" i="1"/>
  <c r="D1065" i="1"/>
  <c r="F1065" i="1"/>
  <c r="H1065" i="1"/>
  <c r="J1065" i="1"/>
  <c r="D1066" i="1"/>
  <c r="F1066" i="1"/>
  <c r="H1066" i="1"/>
  <c r="J1066" i="1"/>
  <c r="D1067" i="1"/>
  <c r="G1067" i="1"/>
  <c r="H1067" i="1"/>
  <c r="I1067" i="1"/>
  <c r="B1068" i="1"/>
  <c r="C1068" i="1"/>
  <c r="E1068" i="1"/>
  <c r="F1068" i="1"/>
  <c r="D1074" i="1"/>
  <c r="F1074" i="1"/>
  <c r="H1074" i="1"/>
  <c r="J1074" i="1"/>
  <c r="D1075" i="1"/>
  <c r="F1075" i="1"/>
  <c r="H1075" i="1"/>
  <c r="J1075" i="1"/>
  <c r="D1076" i="1"/>
  <c r="F1076" i="1"/>
  <c r="H1076" i="1"/>
  <c r="J1076" i="1"/>
  <c r="D1077" i="1"/>
  <c r="F1077" i="1"/>
  <c r="H1077" i="1"/>
  <c r="J1077" i="1"/>
  <c r="D1078" i="1"/>
  <c r="F1078" i="1"/>
  <c r="H1078" i="1"/>
  <c r="J1078" i="1"/>
  <c r="B1079" i="1"/>
  <c r="C1079" i="1"/>
  <c r="E1079" i="1"/>
  <c r="F1079" i="1"/>
  <c r="G1079" i="1"/>
  <c r="H1079" i="1"/>
  <c r="I1079" i="1"/>
  <c r="D1085" i="1"/>
  <c r="F1085" i="1"/>
  <c r="H1085" i="1"/>
  <c r="J1085" i="1"/>
  <c r="D1086" i="1"/>
  <c r="F1086" i="1"/>
  <c r="H1086" i="1"/>
  <c r="J1086" i="1"/>
  <c r="D1087" i="1"/>
  <c r="F1087" i="1"/>
  <c r="H1087" i="1"/>
  <c r="J1087" i="1"/>
  <c r="D1088" i="1"/>
  <c r="F1088" i="1"/>
  <c r="H1088" i="1"/>
  <c r="J1088" i="1"/>
  <c r="D1089" i="1"/>
  <c r="F1089" i="1"/>
  <c r="H1089" i="1"/>
  <c r="J1089" i="1"/>
  <c r="B1090" i="1"/>
  <c r="C1090" i="1"/>
  <c r="D1090" i="1"/>
  <c r="E1090" i="1"/>
  <c r="M830" i="1"/>
  <c r="G1090" i="1"/>
  <c r="H1090" i="1"/>
  <c r="I1090" i="1"/>
  <c r="D1096" i="1"/>
  <c r="F1096" i="1"/>
  <c r="H1096" i="1"/>
  <c r="J1096" i="1"/>
  <c r="D1097" i="1"/>
  <c r="F1097" i="1"/>
  <c r="H1097" i="1"/>
  <c r="J1097" i="1"/>
  <c r="D1098" i="1"/>
  <c r="F1098" i="1"/>
  <c r="H1098" i="1"/>
  <c r="J1098" i="1"/>
  <c r="D1099" i="1"/>
  <c r="F1099" i="1"/>
  <c r="H1099" i="1"/>
  <c r="J1099" i="1"/>
  <c r="D1100" i="1"/>
  <c r="F1100" i="1"/>
  <c r="H1100" i="1"/>
  <c r="J1100" i="1"/>
  <c r="B1101" i="1"/>
  <c r="D1101" i="1"/>
  <c r="C1101" i="1"/>
  <c r="E1101" i="1"/>
  <c r="G1101" i="1"/>
  <c r="I1101" i="1"/>
  <c r="D1107" i="1"/>
  <c r="F1107" i="1"/>
  <c r="H1107" i="1"/>
  <c r="J1107" i="1"/>
  <c r="D1108" i="1"/>
  <c r="F1108" i="1"/>
  <c r="H1108" i="1"/>
  <c r="J1108" i="1"/>
  <c r="D1109" i="1"/>
  <c r="F1109" i="1"/>
  <c r="H1109" i="1"/>
  <c r="J1109" i="1"/>
  <c r="D1110" i="1"/>
  <c r="F1110" i="1"/>
  <c r="H1110" i="1"/>
  <c r="J1110" i="1"/>
  <c r="D1111" i="1"/>
  <c r="F1111" i="1"/>
  <c r="H1111" i="1"/>
  <c r="J1111" i="1"/>
  <c r="B1112" i="1"/>
  <c r="C1112" i="1"/>
  <c r="D1112" i="1"/>
  <c r="E1112" i="1"/>
  <c r="F1112" i="1"/>
  <c r="G1112" i="1"/>
  <c r="H1112" i="1"/>
  <c r="I1112" i="1"/>
  <c r="J1112" i="1"/>
  <c r="D1118" i="1"/>
  <c r="F1118" i="1"/>
  <c r="H1118" i="1"/>
  <c r="J1118" i="1"/>
  <c r="D1119" i="1"/>
  <c r="F1119" i="1"/>
  <c r="H1119" i="1"/>
  <c r="J1119" i="1"/>
  <c r="D1120" i="1"/>
  <c r="F1120" i="1"/>
  <c r="H1120" i="1"/>
  <c r="J1120" i="1"/>
  <c r="D1121" i="1"/>
  <c r="F1121" i="1"/>
  <c r="H1121" i="1"/>
  <c r="J1121" i="1"/>
  <c r="D1122" i="1"/>
  <c r="F1122" i="1"/>
  <c r="H1122" i="1"/>
  <c r="J1122" i="1"/>
  <c r="B1123" i="1"/>
  <c r="C1123" i="1"/>
  <c r="E1123" i="1"/>
  <c r="F1123" i="1"/>
  <c r="G1123" i="1"/>
  <c r="H1123" i="1"/>
  <c r="I1123" i="1"/>
  <c r="J1123" i="1"/>
  <c r="D1129" i="1"/>
  <c r="F1129" i="1"/>
  <c r="H1129" i="1"/>
  <c r="J1129" i="1"/>
  <c r="D1130" i="1"/>
  <c r="F1130" i="1"/>
  <c r="H1130" i="1"/>
  <c r="J1130" i="1"/>
  <c r="D1131" i="1"/>
  <c r="F1131" i="1"/>
  <c r="H1131" i="1"/>
  <c r="J1131" i="1"/>
  <c r="D1132" i="1"/>
  <c r="F1132" i="1"/>
  <c r="H1132" i="1"/>
  <c r="J1132" i="1"/>
  <c r="D1133" i="1"/>
  <c r="F1133" i="1"/>
  <c r="H1133" i="1"/>
  <c r="J1133" i="1"/>
  <c r="B1134" i="1"/>
  <c r="C1134" i="1"/>
  <c r="E1134" i="1"/>
  <c r="F1134" i="1"/>
  <c r="G1134" i="1"/>
  <c r="H1134" i="1"/>
  <c r="I1134" i="1"/>
  <c r="J1134" i="1"/>
  <c r="D1140" i="1"/>
  <c r="F1140" i="1"/>
  <c r="H1140" i="1"/>
  <c r="J1140" i="1"/>
  <c r="D1141" i="1"/>
  <c r="F1141" i="1"/>
  <c r="H1141" i="1"/>
  <c r="J1141" i="1"/>
  <c r="D1142" i="1"/>
  <c r="F1142" i="1"/>
  <c r="H1142" i="1"/>
  <c r="J1142" i="1"/>
  <c r="D1143" i="1"/>
  <c r="F1143" i="1"/>
  <c r="H1143" i="1"/>
  <c r="J1143" i="1"/>
  <c r="D1144" i="1"/>
  <c r="F1144" i="1"/>
  <c r="H1144" i="1"/>
  <c r="J1144" i="1"/>
  <c r="B1145" i="1"/>
  <c r="C1145" i="1"/>
  <c r="E1145" i="1"/>
  <c r="F1145" i="1"/>
  <c r="G1145" i="1"/>
  <c r="I1145" i="1"/>
  <c r="J1145" i="1"/>
  <c r="D1151" i="1"/>
  <c r="F1151" i="1"/>
  <c r="H1151" i="1"/>
  <c r="J1151" i="1"/>
  <c r="D1152" i="1"/>
  <c r="F1152" i="1"/>
  <c r="H1152" i="1"/>
  <c r="J1152" i="1"/>
  <c r="D1153" i="1"/>
  <c r="F1153" i="1"/>
  <c r="H1153" i="1"/>
  <c r="J1153" i="1"/>
  <c r="D1154" i="1"/>
  <c r="F1154" i="1"/>
  <c r="H1154" i="1"/>
  <c r="J1154" i="1"/>
  <c r="D1155" i="1"/>
  <c r="F1155" i="1"/>
  <c r="H1155" i="1"/>
  <c r="J1155" i="1"/>
  <c r="B1156" i="1"/>
  <c r="C1156" i="1"/>
  <c r="E1156" i="1"/>
  <c r="F1156" i="1"/>
  <c r="G1156" i="1"/>
  <c r="H1156" i="1"/>
  <c r="I1156" i="1"/>
  <c r="J1156" i="1"/>
  <c r="D1162" i="1"/>
  <c r="F1162" i="1"/>
  <c r="H1162" i="1"/>
  <c r="J1162" i="1"/>
  <c r="D1163" i="1"/>
  <c r="F1163" i="1"/>
  <c r="H1163" i="1"/>
  <c r="J1163" i="1"/>
  <c r="D1164" i="1"/>
  <c r="F1164" i="1"/>
  <c r="H1164" i="1"/>
  <c r="J1164" i="1"/>
  <c r="D1165" i="1"/>
  <c r="F1165" i="1"/>
  <c r="H1165" i="1"/>
  <c r="J1165" i="1"/>
  <c r="D1166" i="1"/>
  <c r="F1166" i="1"/>
  <c r="H1166" i="1"/>
  <c r="J1166" i="1"/>
  <c r="B1167" i="1"/>
  <c r="C1167" i="1"/>
  <c r="E1167" i="1"/>
  <c r="F1167" i="1"/>
  <c r="G1167" i="1"/>
  <c r="I1167" i="1"/>
  <c r="J1167" i="1"/>
  <c r="D1173" i="1"/>
  <c r="F1173" i="1"/>
  <c r="H1173" i="1"/>
  <c r="J1173" i="1"/>
  <c r="D1174" i="1"/>
  <c r="F1174" i="1"/>
  <c r="H1174" i="1"/>
  <c r="J1174" i="1"/>
  <c r="D1175" i="1"/>
  <c r="F1175" i="1"/>
  <c r="H1175" i="1"/>
  <c r="J1175" i="1"/>
  <c r="D1176" i="1"/>
  <c r="F1176" i="1"/>
  <c r="H1176" i="1"/>
  <c r="J1176" i="1"/>
  <c r="D1177" i="1"/>
  <c r="F1177" i="1"/>
  <c r="H1177" i="1"/>
  <c r="J1177" i="1"/>
  <c r="B1178" i="1"/>
  <c r="H1178" i="1"/>
  <c r="C1178" i="1"/>
  <c r="D1178" i="1"/>
  <c r="E1178" i="1"/>
  <c r="F1178" i="1"/>
  <c r="G1178" i="1"/>
  <c r="I1178" i="1"/>
  <c r="J1178" i="1"/>
  <c r="D1184" i="1"/>
  <c r="F1184" i="1"/>
  <c r="H1184" i="1"/>
  <c r="J1184" i="1"/>
  <c r="D1185" i="1"/>
  <c r="F1185" i="1"/>
  <c r="H1185" i="1"/>
  <c r="J1185" i="1"/>
  <c r="D1186" i="1"/>
  <c r="F1186" i="1"/>
  <c r="H1186" i="1"/>
  <c r="J1186" i="1"/>
  <c r="D1187" i="1"/>
  <c r="F1187" i="1"/>
  <c r="H1187" i="1"/>
  <c r="J1187" i="1"/>
  <c r="D1188" i="1"/>
  <c r="F1188" i="1"/>
  <c r="H1188" i="1"/>
  <c r="J1188" i="1"/>
  <c r="B1189" i="1"/>
  <c r="C1189" i="1"/>
  <c r="D1189" i="1"/>
  <c r="E1189" i="1"/>
  <c r="F1189" i="1"/>
  <c r="G1189" i="1"/>
  <c r="H1189" i="1"/>
  <c r="I1189" i="1"/>
  <c r="J1189" i="1"/>
  <c r="D1195" i="1"/>
  <c r="F1195" i="1"/>
  <c r="H1195" i="1"/>
  <c r="J1195" i="1"/>
  <c r="D1196" i="1"/>
  <c r="F1196" i="1"/>
  <c r="H1196" i="1"/>
  <c r="J1196" i="1"/>
  <c r="D1197" i="1"/>
  <c r="F1197" i="1"/>
  <c r="H1197" i="1"/>
  <c r="J1197" i="1"/>
  <c r="D1198" i="1"/>
  <c r="F1198" i="1"/>
  <c r="H1198" i="1"/>
  <c r="J1198" i="1"/>
  <c r="D1199" i="1"/>
  <c r="F1199" i="1"/>
  <c r="H1199" i="1"/>
  <c r="J1199" i="1"/>
  <c r="B1200" i="1"/>
  <c r="C1200" i="1"/>
  <c r="D1200" i="1"/>
  <c r="E1200" i="1"/>
  <c r="F1200" i="1"/>
  <c r="G1200" i="1"/>
  <c r="I1200" i="1"/>
  <c r="J1200" i="1"/>
  <c r="D1206" i="1"/>
  <c r="F1206" i="1"/>
  <c r="H1206" i="1"/>
  <c r="J1206" i="1"/>
  <c r="D1207" i="1"/>
  <c r="F1207" i="1"/>
  <c r="H1207" i="1"/>
  <c r="J1207" i="1"/>
  <c r="D1208" i="1"/>
  <c r="F1208" i="1"/>
  <c r="H1208" i="1"/>
  <c r="J1208" i="1"/>
  <c r="D1209" i="1"/>
  <c r="F1209" i="1"/>
  <c r="H1209" i="1"/>
  <c r="J1209" i="1"/>
  <c r="D1210" i="1"/>
  <c r="F1210" i="1"/>
  <c r="H1210" i="1"/>
  <c r="J1210" i="1"/>
  <c r="B1211" i="1"/>
  <c r="H1211" i="1"/>
  <c r="C1211" i="1"/>
  <c r="E1211" i="1"/>
  <c r="F1211" i="1"/>
  <c r="G1211" i="1"/>
  <c r="I1211" i="1"/>
  <c r="J1211" i="1"/>
  <c r="D1217" i="1"/>
  <c r="F1217" i="1"/>
  <c r="H1217" i="1"/>
  <c r="J1217" i="1"/>
  <c r="D1218" i="1"/>
  <c r="F1218" i="1"/>
  <c r="H1218" i="1"/>
  <c r="J1218" i="1"/>
  <c r="D1219" i="1"/>
  <c r="F1219" i="1"/>
  <c r="H1219" i="1"/>
  <c r="J1219" i="1"/>
  <c r="D1220" i="1"/>
  <c r="F1220" i="1"/>
  <c r="H1220" i="1"/>
  <c r="J1220" i="1"/>
  <c r="D1221" i="1"/>
  <c r="F1221" i="1"/>
  <c r="H1221" i="1"/>
  <c r="J1221" i="1"/>
  <c r="B1222" i="1"/>
  <c r="C1222" i="1"/>
  <c r="E1222" i="1"/>
  <c r="F1222" i="1"/>
  <c r="G1222" i="1"/>
  <c r="H1222" i="1"/>
  <c r="I1222" i="1"/>
  <c r="J1222" i="1"/>
  <c r="D1228" i="1"/>
  <c r="F1228" i="1"/>
  <c r="H1228" i="1"/>
  <c r="J1228" i="1"/>
  <c r="D1229" i="1"/>
  <c r="F1229" i="1"/>
  <c r="H1229" i="1"/>
  <c r="J1229" i="1"/>
  <c r="D1230" i="1"/>
  <c r="F1230" i="1"/>
  <c r="H1230" i="1"/>
  <c r="J1230" i="1"/>
  <c r="D1231" i="1"/>
  <c r="F1231" i="1"/>
  <c r="H1231" i="1"/>
  <c r="J1231" i="1"/>
  <c r="D1232" i="1"/>
  <c r="F1232" i="1"/>
  <c r="H1232" i="1"/>
  <c r="J1232" i="1"/>
  <c r="B1233" i="1"/>
  <c r="C1233" i="1"/>
  <c r="D1233" i="1"/>
  <c r="E1233" i="1"/>
  <c r="F1233" i="1"/>
  <c r="G1233" i="1"/>
  <c r="H1233" i="1"/>
  <c r="I1233" i="1"/>
  <c r="J1233" i="1"/>
  <c r="D1239" i="1"/>
  <c r="F1239" i="1"/>
  <c r="H1239" i="1"/>
  <c r="J1239" i="1"/>
  <c r="D1240" i="1"/>
  <c r="F1240" i="1"/>
  <c r="H1240" i="1"/>
  <c r="J1240" i="1"/>
  <c r="D1241" i="1"/>
  <c r="F1241" i="1"/>
  <c r="H1241" i="1"/>
  <c r="J1241" i="1"/>
  <c r="D1242" i="1"/>
  <c r="F1242" i="1"/>
  <c r="H1242" i="1"/>
  <c r="J1242" i="1"/>
  <c r="D1243" i="1"/>
  <c r="F1243" i="1"/>
  <c r="H1243" i="1"/>
  <c r="J1243" i="1"/>
  <c r="B1244" i="1"/>
  <c r="C1244" i="1"/>
  <c r="E1244" i="1"/>
  <c r="F1244" i="1"/>
  <c r="G1244" i="1"/>
  <c r="I1244" i="1"/>
  <c r="J1244" i="1"/>
  <c r="D1250" i="1"/>
  <c r="F1250" i="1"/>
  <c r="H1250" i="1"/>
  <c r="J1250" i="1"/>
  <c r="D1251" i="1"/>
  <c r="F1251" i="1"/>
  <c r="H1251" i="1"/>
  <c r="J1251" i="1"/>
  <c r="D1252" i="1"/>
  <c r="F1252" i="1"/>
  <c r="H1252" i="1"/>
  <c r="J1252" i="1"/>
  <c r="D1253" i="1"/>
  <c r="F1253" i="1"/>
  <c r="H1253" i="1"/>
  <c r="J1253" i="1"/>
  <c r="D1254" i="1"/>
  <c r="F1254" i="1"/>
  <c r="H1254" i="1"/>
  <c r="J1254" i="1"/>
  <c r="B1255" i="1"/>
  <c r="C1255" i="1"/>
  <c r="D1255" i="1"/>
  <c r="E1255" i="1"/>
  <c r="F1255" i="1"/>
  <c r="G1255" i="1"/>
  <c r="I1255" i="1"/>
  <c r="J1255" i="1"/>
  <c r="D1261" i="1"/>
  <c r="F1261" i="1"/>
  <c r="H1261" i="1"/>
  <c r="J1261" i="1"/>
  <c r="D1262" i="1"/>
  <c r="F1262" i="1"/>
  <c r="H1262" i="1"/>
  <c r="J1262" i="1"/>
  <c r="D1263" i="1"/>
  <c r="F1263" i="1"/>
  <c r="H1263" i="1"/>
  <c r="J1263" i="1"/>
  <c r="D1264" i="1"/>
  <c r="F1264" i="1"/>
  <c r="H1264" i="1"/>
  <c r="J1264" i="1"/>
  <c r="D1265" i="1"/>
  <c r="F1265" i="1"/>
  <c r="H1265" i="1"/>
  <c r="J1265" i="1"/>
  <c r="B1266" i="1"/>
  <c r="C1266" i="1"/>
  <c r="E1266" i="1"/>
  <c r="F1266" i="1"/>
  <c r="G1266" i="1"/>
  <c r="I1266" i="1"/>
  <c r="J1266" i="1"/>
  <c r="D1272" i="1"/>
  <c r="F1272" i="1"/>
  <c r="H1272" i="1"/>
  <c r="J1272" i="1"/>
  <c r="D1273" i="1"/>
  <c r="F1273" i="1"/>
  <c r="H1273" i="1"/>
  <c r="J1273" i="1"/>
  <c r="D1274" i="1"/>
  <c r="F1274" i="1"/>
  <c r="H1274" i="1"/>
  <c r="J1274" i="1"/>
  <c r="D1275" i="1"/>
  <c r="F1275" i="1"/>
  <c r="H1275" i="1"/>
  <c r="J1275" i="1"/>
  <c r="D1276" i="1"/>
  <c r="F1276" i="1"/>
  <c r="H1276" i="1"/>
  <c r="J1276" i="1"/>
  <c r="B1277" i="1"/>
  <c r="C1277" i="1"/>
  <c r="E1277" i="1"/>
  <c r="F1277" i="1"/>
  <c r="G1277" i="1"/>
  <c r="I1277" i="1"/>
  <c r="J1277" i="1"/>
  <c r="D1283" i="1"/>
  <c r="F1283" i="1"/>
  <c r="H1283" i="1"/>
  <c r="J1283" i="1"/>
  <c r="D1284" i="1"/>
  <c r="F1284" i="1"/>
  <c r="H1284" i="1"/>
  <c r="J1284" i="1"/>
  <c r="D1285" i="1"/>
  <c r="F1285" i="1"/>
  <c r="H1285" i="1"/>
  <c r="J1285" i="1"/>
  <c r="D1286" i="1"/>
  <c r="F1286" i="1"/>
  <c r="H1286" i="1"/>
  <c r="J1286" i="1"/>
  <c r="D1287" i="1"/>
  <c r="F1287" i="1"/>
  <c r="H1287" i="1"/>
  <c r="J1287" i="1"/>
  <c r="B1288" i="1"/>
  <c r="C1288" i="1"/>
  <c r="E1288" i="1"/>
  <c r="F1288" i="1"/>
  <c r="G1288" i="1"/>
  <c r="H1288" i="1"/>
  <c r="I1288" i="1"/>
  <c r="J1288" i="1"/>
  <c r="D1294" i="1"/>
  <c r="F1294" i="1"/>
  <c r="H1294" i="1"/>
  <c r="J1294" i="1"/>
  <c r="D1295" i="1"/>
  <c r="F1295" i="1"/>
  <c r="H1295" i="1"/>
  <c r="J1295" i="1"/>
  <c r="D1296" i="1"/>
  <c r="F1296" i="1"/>
  <c r="H1296" i="1"/>
  <c r="J1296" i="1"/>
  <c r="D1297" i="1"/>
  <c r="F1297" i="1"/>
  <c r="H1297" i="1"/>
  <c r="J1297" i="1"/>
  <c r="D1298" i="1"/>
  <c r="F1298" i="1"/>
  <c r="H1298" i="1"/>
  <c r="J1298" i="1"/>
  <c r="B1299" i="1"/>
  <c r="C1299" i="1"/>
  <c r="E1299" i="1"/>
  <c r="F1299" i="1"/>
  <c r="G1299" i="1"/>
  <c r="I1299" i="1"/>
  <c r="J1299" i="1"/>
  <c r="D1305" i="1"/>
  <c r="F1305" i="1"/>
  <c r="H1305" i="1"/>
  <c r="J1305" i="1"/>
  <c r="D1306" i="1"/>
  <c r="F1306" i="1"/>
  <c r="H1306" i="1"/>
  <c r="J1306" i="1"/>
  <c r="D1307" i="1"/>
  <c r="F1307" i="1"/>
  <c r="H1307" i="1"/>
  <c r="J1307" i="1"/>
  <c r="D1308" i="1"/>
  <c r="F1308" i="1"/>
  <c r="H1308" i="1"/>
  <c r="J1308" i="1"/>
  <c r="D1309" i="1"/>
  <c r="F1309" i="1"/>
  <c r="H1309" i="1"/>
  <c r="J1309" i="1"/>
  <c r="B1310" i="1"/>
  <c r="H1310" i="1"/>
  <c r="C1310" i="1"/>
  <c r="D1310" i="1"/>
  <c r="E1310" i="1"/>
  <c r="F1310" i="1"/>
  <c r="G1310" i="1"/>
  <c r="I1310" i="1"/>
  <c r="J1310" i="1"/>
  <c r="D1316" i="1"/>
  <c r="F1316" i="1"/>
  <c r="H1316" i="1"/>
  <c r="J1316" i="1"/>
  <c r="D1317" i="1"/>
  <c r="F1317" i="1"/>
  <c r="H1317" i="1"/>
  <c r="J1317" i="1"/>
  <c r="D1318" i="1"/>
  <c r="F1318" i="1"/>
  <c r="H1318" i="1"/>
  <c r="J1318" i="1"/>
  <c r="D1319" i="1"/>
  <c r="F1319" i="1"/>
  <c r="H1319" i="1"/>
  <c r="J1319" i="1"/>
  <c r="D1320" i="1"/>
  <c r="F1320" i="1"/>
  <c r="H1320" i="1"/>
  <c r="J1320" i="1"/>
  <c r="B1321" i="1"/>
  <c r="C1321" i="1"/>
  <c r="E1321" i="1"/>
  <c r="F1321" i="1"/>
  <c r="G1321" i="1"/>
  <c r="I1321" i="1"/>
  <c r="J1321" i="1"/>
  <c r="D1327" i="1"/>
  <c r="F1327" i="1"/>
  <c r="H1327" i="1"/>
  <c r="J1327" i="1"/>
  <c r="D1328" i="1"/>
  <c r="F1328" i="1"/>
  <c r="H1328" i="1"/>
  <c r="J1328" i="1"/>
  <c r="D1329" i="1"/>
  <c r="F1329" i="1"/>
  <c r="H1329" i="1"/>
  <c r="J1329" i="1"/>
  <c r="D1330" i="1"/>
  <c r="F1330" i="1"/>
  <c r="H1330" i="1"/>
  <c r="J1330" i="1"/>
  <c r="D1331" i="1"/>
  <c r="F1331" i="1"/>
  <c r="H1331" i="1"/>
  <c r="J1331" i="1"/>
  <c r="B1332" i="1"/>
  <c r="C1332" i="1"/>
  <c r="E1332" i="1"/>
  <c r="F1332" i="1"/>
  <c r="G1332" i="1"/>
  <c r="I1332" i="1"/>
  <c r="J1332" i="1"/>
  <c r="D1338" i="1"/>
  <c r="F1338" i="1"/>
  <c r="H1338" i="1"/>
  <c r="J1338" i="1"/>
  <c r="D1339" i="1"/>
  <c r="F1339" i="1"/>
  <c r="H1339" i="1"/>
  <c r="J1339" i="1"/>
  <c r="D1340" i="1"/>
  <c r="F1340" i="1"/>
  <c r="H1340" i="1"/>
  <c r="J1340" i="1"/>
  <c r="D1341" i="1"/>
  <c r="F1341" i="1"/>
  <c r="H1341" i="1"/>
  <c r="J1341" i="1"/>
  <c r="D1342" i="1"/>
  <c r="F1342" i="1"/>
  <c r="H1342" i="1"/>
  <c r="J1342" i="1"/>
  <c r="B1343" i="1"/>
  <c r="C1343" i="1"/>
  <c r="D1343" i="1"/>
  <c r="E1343" i="1"/>
  <c r="F1343" i="1"/>
  <c r="G1343" i="1"/>
  <c r="I1343" i="1"/>
  <c r="J1343" i="1"/>
  <c r="D1349" i="1"/>
  <c r="F1349" i="1"/>
  <c r="H1349" i="1"/>
  <c r="J1349" i="1"/>
  <c r="D1350" i="1"/>
  <c r="F1350" i="1"/>
  <c r="H1350" i="1"/>
  <c r="J1350" i="1"/>
  <c r="D1351" i="1"/>
  <c r="F1351" i="1"/>
  <c r="H1351" i="1"/>
  <c r="J1351" i="1"/>
  <c r="D1352" i="1"/>
  <c r="F1352" i="1"/>
  <c r="H1352" i="1"/>
  <c r="J1352" i="1"/>
  <c r="D1353" i="1"/>
  <c r="F1353" i="1"/>
  <c r="H1353" i="1"/>
  <c r="J1353" i="1"/>
  <c r="B1354" i="1"/>
  <c r="C1354" i="1"/>
  <c r="E1354" i="1"/>
  <c r="F1354" i="1"/>
  <c r="G1354" i="1"/>
  <c r="I1354" i="1"/>
  <c r="J1354" i="1"/>
  <c r="D1360" i="1"/>
  <c r="F1360" i="1"/>
  <c r="H1360" i="1"/>
  <c r="J1360" i="1"/>
  <c r="D1361" i="1"/>
  <c r="F1361" i="1"/>
  <c r="H1361" i="1"/>
  <c r="J1361" i="1"/>
  <c r="D1362" i="1"/>
  <c r="F1362" i="1"/>
  <c r="H1362" i="1"/>
  <c r="J1362" i="1"/>
  <c r="D1363" i="1"/>
  <c r="F1363" i="1"/>
  <c r="H1363" i="1"/>
  <c r="J1363" i="1"/>
  <c r="D1364" i="1"/>
  <c r="F1364" i="1"/>
  <c r="H1364" i="1"/>
  <c r="J1364" i="1"/>
  <c r="B1365" i="1"/>
  <c r="C1365" i="1"/>
  <c r="E1365" i="1"/>
  <c r="F1365" i="1"/>
  <c r="G1365" i="1"/>
  <c r="H1365" i="1"/>
  <c r="I1365" i="1"/>
  <c r="J1365" i="1"/>
  <c r="D1371" i="1"/>
  <c r="F1371" i="1"/>
  <c r="H1371" i="1"/>
  <c r="J1371" i="1"/>
  <c r="D1372" i="1"/>
  <c r="F1372" i="1"/>
  <c r="H1372" i="1"/>
  <c r="J1372" i="1"/>
  <c r="D1373" i="1"/>
  <c r="F1373" i="1"/>
  <c r="H1373" i="1"/>
  <c r="J1373" i="1"/>
  <c r="D1374" i="1"/>
  <c r="F1374" i="1"/>
  <c r="H1374" i="1"/>
  <c r="J1374" i="1"/>
  <c r="D1375" i="1"/>
  <c r="F1375" i="1"/>
  <c r="H1375" i="1"/>
  <c r="J1375" i="1"/>
  <c r="B1376" i="1"/>
  <c r="C1376" i="1"/>
  <c r="E1376" i="1"/>
  <c r="F1376" i="1"/>
  <c r="G1376" i="1"/>
  <c r="I1376" i="1"/>
  <c r="J1376" i="1"/>
  <c r="D1382" i="1"/>
  <c r="F1382" i="1"/>
  <c r="H1382" i="1"/>
  <c r="J1382" i="1"/>
  <c r="D1383" i="1"/>
  <c r="F1383" i="1"/>
  <c r="H1383" i="1"/>
  <c r="J1383" i="1"/>
  <c r="D1384" i="1"/>
  <c r="F1384" i="1"/>
  <c r="H1384" i="1"/>
  <c r="J1384" i="1"/>
  <c r="D1385" i="1"/>
  <c r="F1385" i="1"/>
  <c r="H1385" i="1"/>
  <c r="J1385" i="1"/>
  <c r="D1386" i="1"/>
  <c r="F1386" i="1"/>
  <c r="H1386" i="1"/>
  <c r="J1386" i="1"/>
  <c r="B1387" i="1"/>
  <c r="D1387" i="1"/>
  <c r="C1387" i="1"/>
  <c r="E1387" i="1"/>
  <c r="F1387" i="1"/>
  <c r="G1387" i="1"/>
  <c r="I1387" i="1"/>
  <c r="J1387" i="1"/>
  <c r="D1393" i="1"/>
  <c r="F1393" i="1"/>
  <c r="H1393" i="1"/>
  <c r="J1393" i="1"/>
  <c r="D1394" i="1"/>
  <c r="F1394" i="1"/>
  <c r="H1394" i="1"/>
  <c r="J1394" i="1"/>
  <c r="D1395" i="1"/>
  <c r="F1395" i="1"/>
  <c r="H1395" i="1"/>
  <c r="J1395" i="1"/>
  <c r="D1396" i="1"/>
  <c r="F1396" i="1"/>
  <c r="H1396" i="1"/>
  <c r="J1396" i="1"/>
  <c r="D1397" i="1"/>
  <c r="F1397" i="1"/>
  <c r="H1397" i="1"/>
  <c r="J1397" i="1"/>
  <c r="B1398" i="1"/>
  <c r="C1398" i="1"/>
  <c r="D1398" i="1"/>
  <c r="E1398" i="1"/>
  <c r="F1398" i="1"/>
  <c r="G1398" i="1"/>
  <c r="I1398" i="1"/>
  <c r="J1398" i="1"/>
  <c r="D1404" i="1"/>
  <c r="F1404" i="1"/>
  <c r="H1404" i="1"/>
  <c r="J1404" i="1"/>
  <c r="D1405" i="1"/>
  <c r="F1405" i="1"/>
  <c r="H1405" i="1"/>
  <c r="J1405" i="1"/>
  <c r="D1406" i="1"/>
  <c r="F1406" i="1"/>
  <c r="H1406" i="1"/>
  <c r="J1406" i="1"/>
  <c r="D1407" i="1"/>
  <c r="F1407" i="1"/>
  <c r="H1407" i="1"/>
  <c r="J1407" i="1"/>
  <c r="D1408" i="1"/>
  <c r="F1408" i="1"/>
  <c r="H1408" i="1"/>
  <c r="J1408" i="1"/>
  <c r="B1409" i="1"/>
  <c r="C1409" i="1"/>
  <c r="D1409" i="1"/>
  <c r="E1409" i="1"/>
  <c r="F1409" i="1"/>
  <c r="G1409" i="1"/>
  <c r="H1409" i="1"/>
  <c r="I1409" i="1"/>
  <c r="J1409" i="1"/>
  <c r="D1415" i="1"/>
  <c r="F1415" i="1"/>
  <c r="H1415" i="1"/>
  <c r="J1415" i="1"/>
  <c r="D1416" i="1"/>
  <c r="F1416" i="1"/>
  <c r="H1416" i="1"/>
  <c r="J1416" i="1"/>
  <c r="D1417" i="1"/>
  <c r="F1417" i="1"/>
  <c r="H1417" i="1"/>
  <c r="J1417" i="1"/>
  <c r="D1418" i="1"/>
  <c r="F1418" i="1"/>
  <c r="H1418" i="1"/>
  <c r="J1418" i="1"/>
  <c r="D1419" i="1"/>
  <c r="F1419" i="1"/>
  <c r="H1419" i="1"/>
  <c r="J1419" i="1"/>
  <c r="B1420" i="1"/>
  <c r="C1420" i="1"/>
  <c r="E1420" i="1"/>
  <c r="F1420" i="1"/>
  <c r="G1420" i="1"/>
  <c r="I1420" i="1"/>
  <c r="J1420" i="1"/>
  <c r="D1426" i="1"/>
  <c r="F1426" i="1"/>
  <c r="H1426" i="1"/>
  <c r="J1426" i="1"/>
  <c r="D1427" i="1"/>
  <c r="H1427" i="1"/>
  <c r="J1427" i="1"/>
  <c r="D1428" i="1"/>
  <c r="F1428" i="1"/>
  <c r="H1428" i="1"/>
  <c r="J1428" i="1"/>
  <c r="D1429" i="1"/>
  <c r="F1429" i="1"/>
  <c r="H1429" i="1"/>
  <c r="J1429" i="1"/>
  <c r="D1430" i="1"/>
  <c r="F1430" i="1"/>
  <c r="H1430" i="1"/>
  <c r="J1430" i="1"/>
  <c r="B1431" i="1"/>
  <c r="C1431" i="1"/>
  <c r="E1431" i="1"/>
  <c r="F1431" i="1"/>
  <c r="G1431" i="1"/>
  <c r="I1431" i="1"/>
  <c r="J1431" i="1"/>
  <c r="D1437" i="1"/>
  <c r="F1437" i="1"/>
  <c r="H1437" i="1"/>
  <c r="J1437" i="1"/>
  <c r="D1438" i="1"/>
  <c r="F1438" i="1"/>
  <c r="H1438" i="1"/>
  <c r="J1438" i="1"/>
  <c r="D1439" i="1"/>
  <c r="F1439" i="1"/>
  <c r="H1439" i="1"/>
  <c r="J1439" i="1"/>
  <c r="D1440" i="1"/>
  <c r="F1440" i="1"/>
  <c r="H1440" i="1"/>
  <c r="J1440" i="1"/>
  <c r="D1441" i="1"/>
  <c r="F1441" i="1"/>
  <c r="H1441" i="1"/>
  <c r="J1441" i="1"/>
  <c r="B1442" i="1"/>
  <c r="C1442" i="1"/>
  <c r="E1442" i="1"/>
  <c r="F1442" i="1"/>
  <c r="G1442" i="1"/>
  <c r="H1442" i="1"/>
  <c r="I1442" i="1"/>
  <c r="D1448" i="1"/>
  <c r="F1448" i="1"/>
  <c r="H1448" i="1"/>
  <c r="J1448" i="1"/>
  <c r="D1449" i="1"/>
  <c r="F1449" i="1"/>
  <c r="H1449" i="1"/>
  <c r="J1449" i="1"/>
  <c r="D1450" i="1"/>
  <c r="F1450" i="1"/>
  <c r="H1450" i="1"/>
  <c r="J1450" i="1"/>
  <c r="D1451" i="1"/>
  <c r="F1451" i="1"/>
  <c r="H1451" i="1"/>
  <c r="J1451" i="1"/>
  <c r="D1452" i="1"/>
  <c r="F1452" i="1"/>
  <c r="H1452" i="1"/>
  <c r="J1452" i="1"/>
  <c r="B1453" i="1"/>
  <c r="C1453" i="1"/>
  <c r="D1453" i="1"/>
  <c r="E1453" i="1"/>
  <c r="F1453" i="1"/>
  <c r="G1453" i="1"/>
  <c r="H1453" i="1"/>
  <c r="I1453" i="1"/>
  <c r="J1453" i="1"/>
  <c r="D1459" i="1"/>
  <c r="F1459" i="1"/>
  <c r="H1459" i="1"/>
  <c r="J1459" i="1"/>
  <c r="D1460" i="1"/>
  <c r="F1460" i="1"/>
  <c r="H1460" i="1"/>
  <c r="J1460" i="1"/>
  <c r="D1461" i="1"/>
  <c r="F1461" i="1"/>
  <c r="H1461" i="1"/>
  <c r="J1461" i="1"/>
  <c r="D1462" i="1"/>
  <c r="F1462" i="1"/>
  <c r="H1462" i="1"/>
  <c r="J1462" i="1"/>
  <c r="D1463" i="1"/>
  <c r="F1463" i="1"/>
  <c r="H1463" i="1"/>
  <c r="J1463" i="1"/>
  <c r="B1464" i="1"/>
  <c r="C1464" i="1"/>
  <c r="E1464" i="1"/>
  <c r="F1464" i="1"/>
  <c r="G1464" i="1"/>
  <c r="I1464" i="1"/>
  <c r="J1464" i="1"/>
  <c r="D1470" i="1"/>
  <c r="F1470" i="1"/>
  <c r="H1470" i="1"/>
  <c r="J1470" i="1"/>
  <c r="D1471" i="1"/>
  <c r="F1471" i="1"/>
  <c r="H1471" i="1"/>
  <c r="J1471" i="1"/>
  <c r="D1472" i="1"/>
  <c r="F1472" i="1"/>
  <c r="H1472" i="1"/>
  <c r="J1472" i="1"/>
  <c r="D1473" i="1"/>
  <c r="F1473" i="1"/>
  <c r="H1473" i="1"/>
  <c r="J1473" i="1"/>
  <c r="D1474" i="1"/>
  <c r="F1474" i="1"/>
  <c r="H1474" i="1"/>
  <c r="J1474" i="1"/>
  <c r="B1475" i="1"/>
  <c r="H1475" i="1"/>
  <c r="C1475" i="1"/>
  <c r="E1475" i="1"/>
  <c r="F1475" i="1"/>
  <c r="G1475" i="1"/>
  <c r="I1475" i="1"/>
  <c r="J1475" i="1"/>
  <c r="D1481" i="1"/>
  <c r="F1481" i="1"/>
  <c r="H1481" i="1"/>
  <c r="J1481" i="1"/>
  <c r="D1482" i="1"/>
  <c r="F1482" i="1"/>
  <c r="H1482" i="1"/>
  <c r="J1482" i="1"/>
  <c r="D1483" i="1"/>
  <c r="F1483" i="1"/>
  <c r="H1483" i="1"/>
  <c r="J1483" i="1"/>
  <c r="D1484" i="1"/>
  <c r="F1484" i="1"/>
  <c r="H1484" i="1"/>
  <c r="J1484" i="1"/>
  <c r="D1485" i="1"/>
  <c r="F1485" i="1"/>
  <c r="H1485" i="1"/>
  <c r="J1485" i="1"/>
  <c r="B1486" i="1"/>
  <c r="C1486" i="1"/>
  <c r="D1486" i="1"/>
  <c r="E1486" i="1"/>
  <c r="F1486" i="1"/>
  <c r="G1486" i="1"/>
  <c r="H1486" i="1"/>
  <c r="I1486" i="1"/>
  <c r="J1486" i="1"/>
  <c r="D1492" i="1"/>
  <c r="F1492" i="1"/>
  <c r="H1492" i="1"/>
  <c r="J1492" i="1"/>
  <c r="D1493" i="1"/>
  <c r="F1493" i="1"/>
  <c r="H1493" i="1"/>
  <c r="J1493" i="1"/>
  <c r="D1494" i="1"/>
  <c r="F1494" i="1"/>
  <c r="H1494" i="1"/>
  <c r="J1494" i="1"/>
  <c r="D1495" i="1"/>
  <c r="F1495" i="1"/>
  <c r="H1495" i="1"/>
  <c r="J1495" i="1"/>
  <c r="D1496" i="1"/>
  <c r="F1496" i="1"/>
  <c r="H1496" i="1"/>
  <c r="J1496" i="1"/>
  <c r="B1497" i="1"/>
  <c r="C1497" i="1"/>
  <c r="E1497" i="1"/>
  <c r="F1497" i="1"/>
  <c r="G1497" i="1"/>
  <c r="H1497" i="1"/>
  <c r="I1497" i="1"/>
  <c r="J1497" i="1"/>
  <c r="D1503" i="1"/>
  <c r="F1503" i="1"/>
  <c r="H1503" i="1"/>
  <c r="J1503" i="1"/>
  <c r="D1504" i="1"/>
  <c r="F1504" i="1"/>
  <c r="H1504" i="1"/>
  <c r="J1504" i="1"/>
  <c r="D1505" i="1"/>
  <c r="F1505" i="1"/>
  <c r="H1505" i="1"/>
  <c r="J1505" i="1"/>
  <c r="D1506" i="1"/>
  <c r="F1506" i="1"/>
  <c r="H1506" i="1"/>
  <c r="J1506" i="1"/>
  <c r="D1507" i="1"/>
  <c r="F1507" i="1"/>
  <c r="H1507" i="1"/>
  <c r="J1507" i="1"/>
  <c r="B1508" i="1"/>
  <c r="H1508" i="1"/>
  <c r="C1508" i="1"/>
  <c r="D1508" i="1"/>
  <c r="E1508" i="1"/>
  <c r="F1508" i="1"/>
  <c r="G1508" i="1"/>
  <c r="I1508" i="1"/>
  <c r="J1508" i="1"/>
  <c r="D1514" i="1"/>
  <c r="F1514" i="1"/>
  <c r="H1514" i="1"/>
  <c r="J1514" i="1"/>
  <c r="D1515" i="1"/>
  <c r="F1515" i="1"/>
  <c r="H1515" i="1"/>
  <c r="J1515" i="1"/>
  <c r="D1516" i="1"/>
  <c r="F1516" i="1"/>
  <c r="H1516" i="1"/>
  <c r="J1516" i="1"/>
  <c r="D1517" i="1"/>
  <c r="F1517" i="1"/>
  <c r="H1517" i="1"/>
  <c r="J1517" i="1"/>
  <c r="D1518" i="1"/>
  <c r="F1518" i="1"/>
  <c r="H1518" i="1"/>
  <c r="J1518" i="1"/>
  <c r="B1519" i="1"/>
  <c r="D1519" i="1"/>
  <c r="C1519" i="1"/>
  <c r="E1519" i="1"/>
  <c r="F1519" i="1"/>
  <c r="G1519" i="1"/>
  <c r="I1519" i="1"/>
  <c r="J1519" i="1"/>
  <c r="D1525" i="1"/>
  <c r="F1525" i="1"/>
  <c r="H1525" i="1"/>
  <c r="J1525" i="1"/>
  <c r="D1526" i="1"/>
  <c r="F1526" i="1"/>
  <c r="H1526" i="1"/>
  <c r="J1526" i="1"/>
  <c r="D1527" i="1"/>
  <c r="F1527" i="1"/>
  <c r="H1527" i="1"/>
  <c r="J1527" i="1"/>
  <c r="D1528" i="1"/>
  <c r="F1528" i="1"/>
  <c r="H1528" i="1"/>
  <c r="J1528" i="1"/>
  <c r="D1529" i="1"/>
  <c r="F1529" i="1"/>
  <c r="H1529" i="1"/>
  <c r="J1529" i="1"/>
  <c r="B1530" i="1"/>
  <c r="C1530" i="1"/>
  <c r="E1530" i="1"/>
  <c r="F1530" i="1"/>
  <c r="G1530" i="1"/>
  <c r="I1530" i="1"/>
  <c r="J1530" i="1"/>
  <c r="D1536" i="1"/>
  <c r="F1536" i="1"/>
  <c r="H1536" i="1"/>
  <c r="J1536" i="1"/>
  <c r="D1537" i="1"/>
  <c r="F1537" i="1"/>
  <c r="H1537" i="1"/>
  <c r="J1537" i="1"/>
  <c r="D1538" i="1"/>
  <c r="F1538" i="1"/>
  <c r="H1538" i="1"/>
  <c r="J1538" i="1"/>
  <c r="D1539" i="1"/>
  <c r="F1539" i="1"/>
  <c r="H1539" i="1"/>
  <c r="J1539" i="1"/>
  <c r="D1540" i="1"/>
  <c r="F1540" i="1"/>
  <c r="H1540" i="1"/>
  <c r="J1540" i="1"/>
  <c r="B1541" i="1"/>
  <c r="C1541" i="1"/>
  <c r="D1541" i="1"/>
  <c r="E1541" i="1"/>
  <c r="F1541" i="1"/>
  <c r="G1541" i="1"/>
  <c r="I1541" i="1"/>
  <c r="J1541" i="1"/>
  <c r="D1547" i="1"/>
  <c r="F1547" i="1"/>
  <c r="H1547" i="1"/>
  <c r="J1547" i="1"/>
  <c r="D1548" i="1"/>
  <c r="F1548" i="1"/>
  <c r="H1548" i="1"/>
  <c r="J1548" i="1"/>
  <c r="D1549" i="1"/>
  <c r="F1549" i="1"/>
  <c r="H1549" i="1"/>
  <c r="J1549" i="1"/>
  <c r="D1550" i="1"/>
  <c r="F1550" i="1"/>
  <c r="H1550" i="1"/>
  <c r="J1550" i="1"/>
  <c r="D1551" i="1"/>
  <c r="F1551" i="1"/>
  <c r="H1551" i="1"/>
  <c r="J1551" i="1"/>
  <c r="B1552" i="1"/>
  <c r="D1552" i="1"/>
  <c r="C1552" i="1"/>
  <c r="E1552" i="1"/>
  <c r="F1552" i="1"/>
  <c r="G1552" i="1"/>
  <c r="I1552" i="1"/>
  <c r="J1552" i="1"/>
  <c r="D1558" i="1"/>
  <c r="F1558" i="1"/>
  <c r="H1558" i="1"/>
  <c r="J1558" i="1"/>
  <c r="D1559" i="1"/>
  <c r="F1559" i="1"/>
  <c r="H1559" i="1"/>
  <c r="J1559" i="1"/>
  <c r="D1560" i="1"/>
  <c r="F1560" i="1"/>
  <c r="H1560" i="1"/>
  <c r="J1560" i="1"/>
  <c r="D1561" i="1"/>
  <c r="F1561" i="1"/>
  <c r="H1561" i="1"/>
  <c r="J1561" i="1"/>
  <c r="D1562" i="1"/>
  <c r="F1562" i="1"/>
  <c r="H1562" i="1"/>
  <c r="J1562" i="1"/>
  <c r="B1563" i="1"/>
  <c r="C1563" i="1"/>
  <c r="E1563" i="1"/>
  <c r="F1563" i="1"/>
  <c r="G1563" i="1"/>
  <c r="I1563" i="1"/>
  <c r="J1563" i="1"/>
  <c r="D1569" i="1"/>
  <c r="F1569" i="1"/>
  <c r="H1569" i="1"/>
  <c r="J1569" i="1"/>
  <c r="D1570" i="1"/>
  <c r="F1570" i="1"/>
  <c r="H1570" i="1"/>
  <c r="J1570" i="1"/>
  <c r="D1571" i="1"/>
  <c r="F1571" i="1"/>
  <c r="H1571" i="1"/>
  <c r="J1571" i="1"/>
  <c r="D1572" i="1"/>
  <c r="F1572" i="1"/>
  <c r="H1572" i="1"/>
  <c r="J1572" i="1"/>
  <c r="D1573" i="1"/>
  <c r="F1573" i="1"/>
  <c r="H1573" i="1"/>
  <c r="J1573" i="1"/>
  <c r="B1574" i="1"/>
  <c r="C1574" i="1"/>
  <c r="E1574" i="1"/>
  <c r="F1574" i="1"/>
  <c r="G1574" i="1"/>
  <c r="I1574" i="1"/>
  <c r="J1574" i="1"/>
  <c r="D1580" i="1"/>
  <c r="F1580" i="1"/>
  <c r="H1580" i="1"/>
  <c r="J1580" i="1"/>
  <c r="D1581" i="1"/>
  <c r="F1581" i="1"/>
  <c r="H1581" i="1"/>
  <c r="J1581" i="1"/>
  <c r="D1582" i="1"/>
  <c r="F1582" i="1"/>
  <c r="H1582" i="1"/>
  <c r="J1582" i="1"/>
  <c r="D1583" i="1"/>
  <c r="F1583" i="1"/>
  <c r="H1583" i="1"/>
  <c r="J1583" i="1"/>
  <c r="D1584" i="1"/>
  <c r="F1584" i="1"/>
  <c r="H1584" i="1"/>
  <c r="J1584" i="1"/>
  <c r="B1585" i="1"/>
  <c r="H1585" i="1"/>
  <c r="C1585" i="1"/>
  <c r="D1585" i="1"/>
  <c r="E1585" i="1"/>
  <c r="F1585" i="1"/>
  <c r="G1585" i="1"/>
  <c r="I1585" i="1"/>
  <c r="J1585" i="1"/>
  <c r="D1591" i="1"/>
  <c r="F1591" i="1"/>
  <c r="H1591" i="1"/>
  <c r="J1591" i="1"/>
  <c r="D1592" i="1"/>
  <c r="F1592" i="1"/>
  <c r="H1592" i="1"/>
  <c r="J1592" i="1"/>
  <c r="D1593" i="1"/>
  <c r="F1593" i="1"/>
  <c r="H1593" i="1"/>
  <c r="J1593" i="1"/>
  <c r="D1594" i="1"/>
  <c r="F1594" i="1"/>
  <c r="H1594" i="1"/>
  <c r="J1594" i="1"/>
  <c r="D1595" i="1"/>
  <c r="F1595" i="1"/>
  <c r="H1595" i="1"/>
  <c r="J1595" i="1"/>
  <c r="B1596" i="1"/>
  <c r="D1596" i="1"/>
  <c r="C1596" i="1"/>
  <c r="E1596" i="1"/>
  <c r="F1596" i="1"/>
  <c r="G1596" i="1"/>
  <c r="H1596" i="1"/>
  <c r="I1596" i="1"/>
  <c r="J1596" i="1"/>
  <c r="D1602" i="1"/>
  <c r="F1602" i="1"/>
  <c r="H1602" i="1"/>
  <c r="J1602" i="1"/>
  <c r="D1603" i="1"/>
  <c r="F1603" i="1"/>
  <c r="H1603" i="1"/>
  <c r="J1603" i="1"/>
  <c r="D1604" i="1"/>
  <c r="F1604" i="1"/>
  <c r="H1604" i="1"/>
  <c r="J1604" i="1"/>
  <c r="D1605" i="1"/>
  <c r="F1605" i="1"/>
  <c r="H1605" i="1"/>
  <c r="J1605" i="1"/>
  <c r="D1606" i="1"/>
  <c r="F1606" i="1"/>
  <c r="H1606" i="1"/>
  <c r="J1606" i="1"/>
  <c r="B1607" i="1"/>
  <c r="C1607" i="1"/>
  <c r="D1607" i="1"/>
  <c r="E1607" i="1"/>
  <c r="F1607" i="1"/>
  <c r="G1607" i="1"/>
  <c r="I1607" i="1"/>
  <c r="J1607" i="1"/>
  <c r="D1613" i="1"/>
  <c r="F1613" i="1"/>
  <c r="H1613" i="1"/>
  <c r="J1613" i="1"/>
  <c r="D1614" i="1"/>
  <c r="F1614" i="1"/>
  <c r="H1614" i="1"/>
  <c r="J1614" i="1"/>
  <c r="D1615" i="1"/>
  <c r="F1615" i="1"/>
  <c r="H1615" i="1"/>
  <c r="J1615" i="1"/>
  <c r="D1616" i="1"/>
  <c r="F1616" i="1"/>
  <c r="H1616" i="1"/>
  <c r="J1616" i="1"/>
  <c r="D1617" i="1"/>
  <c r="F1617" i="1"/>
  <c r="H1617" i="1"/>
  <c r="J1617" i="1"/>
  <c r="B1618" i="1"/>
  <c r="C1618" i="1"/>
  <c r="D1618" i="1"/>
  <c r="E1618" i="1"/>
  <c r="F1618" i="1"/>
  <c r="G1618" i="1"/>
  <c r="I1618" i="1"/>
  <c r="J1618" i="1"/>
  <c r="D1624" i="1"/>
  <c r="F1624" i="1"/>
  <c r="H1624" i="1"/>
  <c r="J1624" i="1"/>
  <c r="D1625" i="1"/>
  <c r="F1625" i="1"/>
  <c r="H1625" i="1"/>
  <c r="J1625" i="1"/>
  <c r="D1626" i="1"/>
  <c r="F1626" i="1"/>
  <c r="H1626" i="1"/>
  <c r="J1626" i="1"/>
  <c r="D1627" i="1"/>
  <c r="F1627" i="1"/>
  <c r="H1627" i="1"/>
  <c r="J1627" i="1"/>
  <c r="D1628" i="1"/>
  <c r="F1628" i="1"/>
  <c r="H1628" i="1"/>
  <c r="J1628" i="1"/>
  <c r="B1629" i="1"/>
  <c r="C1629" i="1"/>
  <c r="E1629" i="1"/>
  <c r="F1629" i="1"/>
  <c r="G1629" i="1"/>
  <c r="H1629" i="1"/>
  <c r="I1629" i="1"/>
  <c r="J1629" i="1"/>
  <c r="D1635" i="1"/>
  <c r="F1635" i="1"/>
  <c r="H1635" i="1"/>
  <c r="J1635" i="1"/>
  <c r="D1636" i="1"/>
  <c r="F1636" i="1"/>
  <c r="H1636" i="1"/>
  <c r="J1636" i="1"/>
  <c r="D1637" i="1"/>
  <c r="F1637" i="1"/>
  <c r="H1637" i="1"/>
  <c r="J1637" i="1"/>
  <c r="D1638" i="1"/>
  <c r="F1638" i="1"/>
  <c r="H1638" i="1"/>
  <c r="J1638" i="1"/>
  <c r="D1639" i="1"/>
  <c r="F1639" i="1"/>
  <c r="H1639" i="1"/>
  <c r="J1639" i="1"/>
  <c r="B1640" i="1"/>
  <c r="C1640" i="1"/>
  <c r="D1640" i="1"/>
  <c r="E1640" i="1"/>
  <c r="F1640" i="1"/>
  <c r="G1640" i="1"/>
  <c r="I1640" i="1"/>
  <c r="J1640" i="1"/>
  <c r="D1646" i="1"/>
  <c r="F1646" i="1"/>
  <c r="H1646" i="1"/>
  <c r="J1646" i="1"/>
  <c r="D1647" i="1"/>
  <c r="F1647" i="1"/>
  <c r="H1647" i="1"/>
  <c r="J1647" i="1"/>
  <c r="D1648" i="1"/>
  <c r="F1648" i="1"/>
  <c r="H1648" i="1"/>
  <c r="J1648" i="1"/>
  <c r="D1649" i="1"/>
  <c r="F1649" i="1"/>
  <c r="H1649" i="1"/>
  <c r="J1649" i="1"/>
  <c r="D1650" i="1"/>
  <c r="F1650" i="1"/>
  <c r="H1650" i="1"/>
  <c r="J1650" i="1"/>
  <c r="B1651" i="1"/>
  <c r="C1651" i="1"/>
  <c r="D1651" i="1"/>
  <c r="E1651" i="1"/>
  <c r="F1651" i="1"/>
  <c r="G1651" i="1"/>
  <c r="I1651" i="1"/>
  <c r="J1651" i="1"/>
  <c r="D1657" i="1"/>
  <c r="F1657" i="1"/>
  <c r="H1657" i="1"/>
  <c r="J1657" i="1"/>
  <c r="D1658" i="1"/>
  <c r="F1658" i="1"/>
  <c r="H1658" i="1"/>
  <c r="J1658" i="1"/>
  <c r="D1659" i="1"/>
  <c r="F1659" i="1"/>
  <c r="H1659" i="1"/>
  <c r="J1659" i="1"/>
  <c r="D1660" i="1"/>
  <c r="F1660" i="1"/>
  <c r="H1660" i="1"/>
  <c r="J1660" i="1"/>
  <c r="D1661" i="1"/>
  <c r="F1661" i="1"/>
  <c r="H1661" i="1"/>
  <c r="J1661" i="1"/>
  <c r="B1662" i="1"/>
  <c r="H1662" i="1"/>
  <c r="C1662" i="1"/>
  <c r="D1662" i="1"/>
  <c r="E1662" i="1"/>
  <c r="F1662" i="1"/>
  <c r="G1662" i="1"/>
  <c r="I1662" i="1"/>
  <c r="J1662" i="1"/>
  <c r="D1668" i="1"/>
  <c r="F1668" i="1"/>
  <c r="H1668" i="1"/>
  <c r="J1668" i="1"/>
  <c r="D1669" i="1"/>
  <c r="F1669" i="1"/>
  <c r="H1669" i="1"/>
  <c r="J1669" i="1"/>
  <c r="D1670" i="1"/>
  <c r="F1670" i="1"/>
  <c r="H1670" i="1"/>
  <c r="J1670" i="1"/>
  <c r="D1671" i="1"/>
  <c r="F1671" i="1"/>
  <c r="H1671" i="1"/>
  <c r="J1671" i="1"/>
  <c r="D1672" i="1"/>
  <c r="F1672" i="1"/>
  <c r="G1672" i="1"/>
  <c r="H1672" i="1"/>
  <c r="J1672" i="1"/>
  <c r="B1673" i="1"/>
  <c r="C1673" i="1"/>
  <c r="E1673" i="1"/>
  <c r="F1673" i="1"/>
  <c r="I1673" i="1"/>
  <c r="J1673" i="1"/>
  <c r="D1679" i="1"/>
  <c r="F1679" i="1"/>
  <c r="H1679" i="1"/>
  <c r="J1679" i="1"/>
  <c r="F1680" i="1"/>
  <c r="G1680" i="1"/>
  <c r="J1680" i="1"/>
  <c r="D1681" i="1"/>
  <c r="F1681" i="1"/>
  <c r="G1681" i="1"/>
  <c r="H1681" i="1"/>
  <c r="J1681" i="1"/>
  <c r="D1682" i="1"/>
  <c r="F1682" i="1"/>
  <c r="G1682" i="1"/>
  <c r="H1682" i="1"/>
  <c r="J1682" i="1"/>
  <c r="D1683" i="1"/>
  <c r="F1683" i="1"/>
  <c r="G1683" i="1"/>
  <c r="H1683" i="1"/>
  <c r="J1683" i="1"/>
  <c r="B1684" i="1"/>
  <c r="C1684" i="1"/>
  <c r="D1684" i="1"/>
  <c r="E1684" i="1"/>
  <c r="F1684" i="1"/>
  <c r="I1684" i="1"/>
  <c r="J1684" i="1"/>
  <c r="D1690" i="1"/>
  <c r="F1690" i="1"/>
  <c r="G1690" i="1"/>
  <c r="H1690" i="1"/>
  <c r="J1690" i="1"/>
  <c r="F1691" i="1"/>
  <c r="G1691" i="1"/>
  <c r="H1691" i="1"/>
  <c r="F1692" i="1"/>
  <c r="G1692" i="1"/>
  <c r="H1692" i="1"/>
  <c r="F1693" i="1"/>
  <c r="G1693" i="1"/>
  <c r="H1693" i="1"/>
  <c r="J1693" i="1"/>
  <c r="D1694" i="1"/>
  <c r="F1694" i="1"/>
  <c r="G1694" i="1"/>
  <c r="H1694" i="1"/>
  <c r="J1694" i="1"/>
  <c r="B1695" i="1"/>
  <c r="C1695" i="1"/>
  <c r="D1695" i="1"/>
  <c r="E1695" i="1"/>
  <c r="F1695" i="1"/>
  <c r="I1695" i="1"/>
  <c r="J1695" i="1"/>
  <c r="D1701" i="1"/>
  <c r="F1701" i="1"/>
  <c r="G1701" i="1"/>
  <c r="J1701" i="1"/>
  <c r="D1702" i="1"/>
  <c r="F1702" i="1"/>
  <c r="G1702" i="1"/>
  <c r="H1702" i="1"/>
  <c r="J1702" i="1"/>
  <c r="D1703" i="1"/>
  <c r="F1703" i="1"/>
  <c r="G1703" i="1"/>
  <c r="H1703" i="1"/>
  <c r="D1704" i="1"/>
  <c r="F1704" i="1"/>
  <c r="G1704" i="1"/>
  <c r="H1704" i="1"/>
  <c r="J1704" i="1"/>
  <c r="D1705" i="1"/>
  <c r="F1705" i="1"/>
  <c r="G1705" i="1"/>
  <c r="H1705" i="1"/>
  <c r="I1705" i="1"/>
  <c r="J1705" i="1"/>
  <c r="B1706" i="1"/>
  <c r="C1706" i="1"/>
  <c r="D1706" i="1"/>
  <c r="E1706" i="1"/>
  <c r="F1706" i="1"/>
  <c r="F1712" i="1"/>
  <c r="G1712" i="1"/>
  <c r="J1712" i="1"/>
  <c r="F1713" i="1"/>
  <c r="G1713" i="1"/>
  <c r="F1714" i="1"/>
  <c r="G1714" i="1"/>
  <c r="F1715" i="1"/>
  <c r="G1715" i="1"/>
  <c r="D1716" i="1"/>
  <c r="F1716" i="1"/>
  <c r="G1716" i="1"/>
  <c r="H1716" i="1"/>
  <c r="J1716" i="1"/>
  <c r="B1717" i="1"/>
  <c r="C1717" i="1"/>
  <c r="E1717" i="1"/>
  <c r="F1717" i="1"/>
  <c r="I1717" i="1"/>
  <c r="J1717" i="1"/>
  <c r="D1723" i="1"/>
  <c r="F1723" i="1"/>
  <c r="G1723" i="1"/>
  <c r="J1723" i="1"/>
  <c r="D1724" i="1"/>
  <c r="G1724" i="1"/>
  <c r="I1724" i="1"/>
  <c r="D1725" i="1"/>
  <c r="G1725" i="1"/>
  <c r="I1725" i="1"/>
  <c r="D1726" i="1"/>
  <c r="F1726" i="1"/>
  <c r="G1726" i="1"/>
  <c r="H1726" i="1"/>
  <c r="I1726" i="1"/>
  <c r="J1726" i="1"/>
  <c r="D1727" i="1"/>
  <c r="F1727" i="1"/>
  <c r="G1727" i="1"/>
  <c r="H1727" i="1"/>
  <c r="J1727" i="1"/>
  <c r="B1728" i="1"/>
  <c r="D1728" i="1"/>
  <c r="C1728" i="1"/>
  <c r="E1728" i="1"/>
  <c r="F1728" i="1"/>
  <c r="B1889" i="1"/>
  <c r="C1889" i="1"/>
  <c r="E1889" i="1"/>
  <c r="G1889" i="1"/>
  <c r="I1889" i="1"/>
  <c r="B1909" i="1"/>
  <c r="C1909" i="1"/>
  <c r="D1909" i="1"/>
  <c r="E1909" i="1"/>
  <c r="G1909" i="1"/>
  <c r="I1909" i="1"/>
  <c r="B1919" i="1"/>
  <c r="D1919" i="1"/>
  <c r="C1919" i="1"/>
  <c r="E1919" i="1"/>
  <c r="G1919" i="1"/>
  <c r="I1919" i="1"/>
  <c r="B1929" i="1"/>
  <c r="C1929" i="1"/>
  <c r="E1929" i="1"/>
  <c r="G1929" i="1"/>
  <c r="H1929" i="1"/>
  <c r="I1929" i="1"/>
  <c r="B1939" i="1"/>
  <c r="C1939" i="1"/>
  <c r="E1939" i="1"/>
  <c r="G1939" i="1"/>
  <c r="I1939" i="1"/>
  <c r="B1949" i="1"/>
  <c r="H1949" i="1"/>
  <c r="C1949" i="1"/>
  <c r="D1949" i="1"/>
  <c r="E1949" i="1"/>
  <c r="G1949" i="1"/>
  <c r="I1949" i="1"/>
  <c r="B1959" i="1"/>
  <c r="C1959" i="1"/>
  <c r="D1959" i="1"/>
  <c r="E1959" i="1"/>
  <c r="G1959" i="1"/>
  <c r="H1959" i="1"/>
  <c r="I1959" i="1"/>
  <c r="B1969" i="1"/>
  <c r="C1969" i="1"/>
  <c r="E1969" i="1"/>
  <c r="G1969" i="1"/>
  <c r="I1969" i="1"/>
  <c r="B1979" i="1"/>
  <c r="C1979" i="1"/>
  <c r="E1979" i="1"/>
  <c r="G1979" i="1"/>
  <c r="I1979" i="1"/>
  <c r="B1989" i="1"/>
  <c r="C1989" i="1"/>
  <c r="E1989" i="1"/>
  <c r="G1989" i="1"/>
  <c r="I1989" i="1"/>
  <c r="B1999" i="1"/>
  <c r="C1999" i="1"/>
  <c r="E1999" i="1"/>
  <c r="G1999" i="1"/>
  <c r="I1999" i="1"/>
  <c r="B2009" i="1"/>
  <c r="C2009" i="1"/>
  <c r="E2009" i="1"/>
  <c r="G2009" i="1"/>
  <c r="I2009" i="1"/>
  <c r="B2019" i="1"/>
  <c r="C2019" i="1"/>
  <c r="E2019" i="1"/>
  <c r="G2019" i="1"/>
  <c r="I2019" i="1"/>
  <c r="B2029" i="1"/>
  <c r="C2029" i="1"/>
  <c r="E2029" i="1"/>
  <c r="G2029" i="1"/>
  <c r="I2029" i="1"/>
  <c r="B2039" i="1"/>
  <c r="C2039" i="1"/>
  <c r="E2039" i="1"/>
  <c r="G2039" i="1"/>
  <c r="I2039" i="1"/>
  <c r="B2049" i="1"/>
  <c r="C2049" i="1"/>
  <c r="E2049" i="1"/>
  <c r="G2049" i="1"/>
  <c r="I2049" i="1"/>
  <c r="B2059" i="1"/>
  <c r="C2059" i="1"/>
  <c r="E2059" i="1"/>
  <c r="G2059" i="1"/>
  <c r="I2059" i="1"/>
  <c r="B2069" i="1"/>
  <c r="C2069" i="1"/>
  <c r="E2069" i="1"/>
  <c r="G2069" i="1"/>
  <c r="I2069" i="1"/>
  <c r="B2079" i="1"/>
  <c r="C2079" i="1"/>
  <c r="E2079" i="1"/>
  <c r="G2079" i="1"/>
  <c r="I2079" i="1"/>
  <c r="B2089" i="1"/>
  <c r="C2089" i="1"/>
  <c r="E2089" i="1"/>
  <c r="G2089" i="1"/>
  <c r="I2089" i="1"/>
  <c r="B2099" i="1"/>
  <c r="C2099" i="1"/>
  <c r="E2099" i="1"/>
  <c r="G2099" i="1"/>
  <c r="I2099" i="1"/>
  <c r="B2109" i="1"/>
  <c r="C2109" i="1"/>
  <c r="E2109" i="1"/>
  <c r="G2109" i="1"/>
  <c r="I2109" i="1"/>
  <c r="B2119" i="1"/>
  <c r="C2119" i="1"/>
  <c r="E2119" i="1"/>
  <c r="G2119" i="1"/>
  <c r="I2119" i="1"/>
  <c r="B2129" i="1"/>
  <c r="C2129" i="1"/>
  <c r="E2129" i="1"/>
  <c r="G2129" i="1"/>
  <c r="I2129" i="1"/>
  <c r="B2139" i="1"/>
  <c r="C2139" i="1"/>
  <c r="E2139" i="1"/>
  <c r="G2139" i="1"/>
  <c r="I2139" i="1"/>
  <c r="B2149" i="1"/>
  <c r="C2149" i="1"/>
  <c r="E2149" i="1"/>
  <c r="G2149" i="1"/>
  <c r="I2149" i="1"/>
  <c r="B2159" i="1"/>
  <c r="C2159" i="1"/>
  <c r="E2159" i="1"/>
  <c r="G2159" i="1"/>
  <c r="I2159" i="1"/>
  <c r="B2169" i="1"/>
  <c r="C2169" i="1"/>
  <c r="E2169" i="1"/>
  <c r="G2169" i="1"/>
  <c r="I2169" i="1"/>
  <c r="B2179" i="1"/>
  <c r="C2179" i="1"/>
  <c r="E2179" i="1"/>
  <c r="G2179" i="1"/>
  <c r="I2179" i="1"/>
  <c r="B2189" i="1"/>
  <c r="C2189" i="1"/>
  <c r="E2189" i="1"/>
  <c r="G2189" i="1"/>
  <c r="I2189" i="1"/>
  <c r="B2199" i="1"/>
  <c r="C2199" i="1"/>
  <c r="E2199" i="1"/>
  <c r="G2199" i="1"/>
  <c r="I2199" i="1"/>
  <c r="B2209" i="1"/>
  <c r="C2209" i="1"/>
  <c r="E2209" i="1"/>
  <c r="G2209" i="1"/>
  <c r="I2209" i="1"/>
  <c r="B2219" i="1"/>
  <c r="C2219" i="1"/>
  <c r="E2219" i="1"/>
  <c r="G2219" i="1"/>
  <c r="I2219" i="1"/>
  <c r="B2229" i="1"/>
  <c r="C2229" i="1"/>
  <c r="E2229" i="1"/>
  <c r="G2229" i="1"/>
  <c r="I2229" i="1"/>
  <c r="B2239" i="1"/>
  <c r="C2239" i="1"/>
  <c r="E2239" i="1"/>
  <c r="G2239" i="1"/>
  <c r="I2239" i="1"/>
  <c r="B2249" i="1"/>
  <c r="C2249" i="1"/>
  <c r="E2249" i="1"/>
  <c r="G2249" i="1"/>
  <c r="I2249" i="1"/>
  <c r="B2259" i="1"/>
  <c r="C2259" i="1"/>
  <c r="E2259" i="1"/>
  <c r="G2259" i="1"/>
  <c r="I2259" i="1"/>
  <c r="B2269" i="1"/>
  <c r="C2269" i="1"/>
  <c r="E2269" i="1"/>
  <c r="G2269" i="1"/>
  <c r="I2269" i="1"/>
  <c r="B2279" i="1"/>
  <c r="C2279" i="1"/>
  <c r="E2279" i="1"/>
  <c r="G2279" i="1"/>
  <c r="I2279" i="1"/>
  <c r="B2289" i="1"/>
  <c r="C2289" i="1"/>
  <c r="E2289" i="1"/>
  <c r="G2289" i="1"/>
  <c r="I2289" i="1"/>
  <c r="B2299" i="1"/>
  <c r="C2299" i="1"/>
  <c r="E2299" i="1"/>
  <c r="G2299" i="1"/>
  <c r="I2299" i="1"/>
  <c r="B2309" i="1"/>
  <c r="C2309" i="1"/>
  <c r="E2309" i="1"/>
  <c r="G2309" i="1"/>
  <c r="I2309" i="1"/>
  <c r="B2319" i="1"/>
  <c r="C2319" i="1"/>
  <c r="E2319" i="1"/>
  <c r="G2319" i="1"/>
  <c r="I2319" i="1"/>
  <c r="B2329" i="1"/>
  <c r="C2329" i="1"/>
  <c r="E2329" i="1"/>
  <c r="G2329" i="1"/>
  <c r="I2329" i="1"/>
  <c r="B2340" i="1"/>
  <c r="C2340" i="1"/>
  <c r="E2340" i="1"/>
  <c r="G2340" i="1"/>
  <c r="I2340" i="1"/>
  <c r="B2351" i="1"/>
  <c r="C2351" i="1"/>
  <c r="E2351" i="1"/>
  <c r="G2351" i="1"/>
  <c r="I2351" i="1"/>
  <c r="B2362" i="1"/>
  <c r="C2362" i="1"/>
  <c r="E2362" i="1"/>
  <c r="G2362" i="1"/>
  <c r="I2362" i="1"/>
  <c r="B2373" i="1"/>
  <c r="C2373" i="1"/>
  <c r="E2373" i="1"/>
  <c r="G2373" i="1"/>
  <c r="I2373" i="1"/>
  <c r="B2384" i="1"/>
  <c r="C2384" i="1"/>
  <c r="E2384" i="1"/>
  <c r="G2384" i="1"/>
  <c r="I2384" i="1"/>
  <c r="B2395" i="1"/>
  <c r="C2395" i="1"/>
  <c r="E2395" i="1"/>
  <c r="G2395" i="1"/>
  <c r="I2395" i="1"/>
  <c r="B2406" i="1"/>
  <c r="C2406" i="1"/>
  <c r="E2406" i="1"/>
  <c r="G2406" i="1"/>
  <c r="I2406" i="1"/>
  <c r="B2417" i="1"/>
  <c r="C2417" i="1"/>
  <c r="E2417" i="1"/>
  <c r="G2417" i="1"/>
  <c r="I2417" i="1"/>
  <c r="B2428" i="1"/>
  <c r="C2428" i="1"/>
  <c r="E2428" i="1"/>
  <c r="G2428" i="1"/>
  <c r="I2428" i="1"/>
  <c r="B2439" i="1"/>
  <c r="C2439" i="1"/>
  <c r="E2439" i="1"/>
  <c r="G2439" i="1"/>
  <c r="I2439" i="1"/>
  <c r="B2450" i="1"/>
  <c r="C2450" i="1"/>
  <c r="E2450" i="1"/>
  <c r="G2450" i="1"/>
  <c r="I2450" i="1"/>
  <c r="B2461" i="1"/>
  <c r="C2461" i="1"/>
  <c r="E2461" i="1"/>
  <c r="G2461" i="1"/>
  <c r="I2461" i="1"/>
  <c r="B2472" i="1"/>
  <c r="C2472" i="1"/>
  <c r="G2472" i="1"/>
  <c r="B2483" i="1"/>
  <c r="C2483" i="1"/>
  <c r="G2483" i="1"/>
  <c r="B2494" i="1"/>
  <c r="C2494" i="1"/>
  <c r="G2494" i="1"/>
  <c r="B2505" i="1"/>
  <c r="C2505" i="1"/>
  <c r="G2505" i="1"/>
  <c r="B2516" i="1"/>
  <c r="C2516" i="1"/>
  <c r="G2516" i="1"/>
  <c r="B2527" i="1"/>
  <c r="C2527" i="1"/>
  <c r="G2527" i="1"/>
  <c r="B2538" i="1"/>
  <c r="C2538" i="1"/>
  <c r="G2538" i="1"/>
  <c r="B2549" i="1"/>
  <c r="C2549" i="1"/>
  <c r="G2549" i="1"/>
  <c r="B2560" i="1"/>
  <c r="C2560" i="1"/>
  <c r="G2560" i="1"/>
  <c r="B2572" i="1"/>
  <c r="C2572" i="1"/>
  <c r="G2572" i="1"/>
  <c r="B2584" i="1"/>
  <c r="C2584" i="1"/>
  <c r="G2584" i="1"/>
  <c r="B2596" i="1"/>
  <c r="C2596" i="1"/>
  <c r="G2596" i="1"/>
  <c r="B2608" i="1"/>
  <c r="C2608" i="1"/>
  <c r="G2608" i="1"/>
  <c r="B2620" i="1"/>
  <c r="C2620" i="1"/>
  <c r="G2620" i="1"/>
  <c r="B2632" i="1"/>
  <c r="C2632" i="1"/>
  <c r="G2632" i="1"/>
  <c r="B2644" i="1"/>
  <c r="C2644" i="1"/>
  <c r="G2644" i="1"/>
  <c r="B2656" i="1"/>
  <c r="C2656" i="1"/>
  <c r="G2656" i="1"/>
  <c r="B2668" i="1"/>
  <c r="C2668" i="1"/>
  <c r="G2668" i="1"/>
  <c r="B2680" i="1"/>
  <c r="C2680" i="1"/>
  <c r="G2680" i="1"/>
  <c r="B2692" i="1"/>
  <c r="C2692" i="1"/>
  <c r="G2692" i="1"/>
  <c r="B2704" i="1"/>
  <c r="C2704" i="1"/>
  <c r="G2704" i="1"/>
  <c r="B2716" i="1"/>
  <c r="C2716" i="1"/>
  <c r="G2716" i="1"/>
  <c r="B2729" i="1"/>
  <c r="C2729" i="1"/>
  <c r="G2729" i="1"/>
  <c r="B2742" i="1"/>
  <c r="C2742" i="1"/>
  <c r="G2742" i="1"/>
  <c r="B2755" i="1"/>
  <c r="C2755" i="1"/>
  <c r="G2755" i="1"/>
  <c r="B2767" i="1"/>
  <c r="C2767" i="1"/>
  <c r="G2767" i="1"/>
  <c r="B2778" i="1"/>
  <c r="C2778" i="1"/>
  <c r="G2778" i="1"/>
  <c r="B2789" i="1"/>
  <c r="C2789" i="1"/>
  <c r="G2789" i="1"/>
  <c r="B2800" i="1"/>
  <c r="C2800" i="1"/>
  <c r="G2800" i="1"/>
  <c r="B2811" i="1"/>
  <c r="C2811" i="1"/>
  <c r="G2811" i="1"/>
  <c r="B2822" i="1"/>
  <c r="C2822" i="1"/>
  <c r="G2822" i="1"/>
  <c r="B2833" i="1"/>
  <c r="C2833" i="1"/>
  <c r="G2833" i="1"/>
  <c r="B2844" i="1"/>
  <c r="C2844" i="1"/>
  <c r="G2844" i="1"/>
  <c r="B2855" i="1"/>
  <c r="C2855" i="1"/>
  <c r="G2855" i="1"/>
  <c r="B2866" i="1"/>
  <c r="C2866" i="1"/>
  <c r="G2866" i="1"/>
  <c r="B2877" i="1"/>
  <c r="C2877" i="1"/>
  <c r="G2877" i="1"/>
  <c r="B2888" i="1"/>
  <c r="C2888" i="1"/>
  <c r="G2888" i="1"/>
  <c r="B2899" i="1"/>
  <c r="C2899" i="1"/>
  <c r="G2899" i="1"/>
  <c r="B2910" i="1"/>
  <c r="C2910" i="1"/>
  <c r="G2910" i="1"/>
  <c r="B2921" i="1"/>
  <c r="C2921" i="1"/>
  <c r="G2921" i="1"/>
  <c r="B2932" i="1"/>
  <c r="C2932" i="1"/>
  <c r="G2932" i="1"/>
  <c r="B2943" i="1"/>
  <c r="C2943" i="1"/>
  <c r="G2943" i="1"/>
  <c r="B2954" i="1"/>
  <c r="C2954" i="1"/>
  <c r="G2954" i="1"/>
  <c r="B2965" i="1"/>
  <c r="C2965" i="1"/>
  <c r="G2965" i="1"/>
  <c r="B2976" i="1"/>
  <c r="C2976" i="1"/>
  <c r="G2976" i="1"/>
  <c r="B2987" i="1"/>
  <c r="C2987" i="1"/>
  <c r="G2987" i="1"/>
  <c r="B2998" i="1"/>
  <c r="C2998" i="1"/>
  <c r="G2998" i="1"/>
  <c r="B3009" i="1"/>
  <c r="C3009" i="1"/>
  <c r="G3009" i="1"/>
  <c r="B3020" i="1"/>
  <c r="C3020" i="1"/>
  <c r="G3020" i="1"/>
  <c r="B3031" i="1"/>
  <c r="C3031" i="1"/>
  <c r="G3031" i="1"/>
  <c r="B3042" i="1"/>
  <c r="C3042" i="1"/>
  <c r="G3042" i="1"/>
  <c r="B3053" i="1"/>
  <c r="C3053" i="1"/>
  <c r="G3053" i="1"/>
  <c r="B3064" i="1"/>
  <c r="C3064" i="1"/>
  <c r="G3064" i="1"/>
  <c r="B3075" i="1"/>
  <c r="C3075" i="1"/>
  <c r="G3075" i="1"/>
  <c r="B3086" i="1"/>
  <c r="C3086" i="1"/>
  <c r="G3086" i="1"/>
  <c r="B3097" i="1"/>
  <c r="G3097" i="1"/>
  <c r="B3108" i="1"/>
  <c r="C3108" i="1"/>
  <c r="G3108" i="1"/>
  <c r="B3119" i="1"/>
  <c r="C3119" i="1"/>
  <c r="G3119" i="1"/>
  <c r="B3131" i="1"/>
  <c r="C3131" i="1"/>
  <c r="G3131" i="1"/>
  <c r="B3142" i="1"/>
  <c r="C3142" i="1"/>
  <c r="G3142" i="1"/>
  <c r="B3153" i="1"/>
  <c r="C3153" i="1"/>
  <c r="G3153" i="1"/>
  <c r="H570" i="1"/>
  <c r="H316" i="1"/>
  <c r="J1101" i="1"/>
  <c r="H413" i="1"/>
  <c r="D272" i="1"/>
  <c r="H538" i="1"/>
  <c r="D538" i="1"/>
  <c r="H259" i="1"/>
  <c r="D259" i="1"/>
  <c r="H470" i="1"/>
  <c r="D470" i="1"/>
  <c r="D678" i="1"/>
  <c r="H678" i="1"/>
  <c r="H228" i="1"/>
  <c r="H282" i="1"/>
  <c r="D712" i="1"/>
  <c r="D325" i="1"/>
  <c r="H216" i="1"/>
  <c r="D743" i="1"/>
  <c r="J638" i="1"/>
  <c r="D318" i="1"/>
  <c r="D249" i="1"/>
  <c r="H249" i="1"/>
  <c r="H482" i="1"/>
  <c r="D482" i="1"/>
  <c r="H194" i="1"/>
  <c r="H613" i="1"/>
  <c r="D567" i="1"/>
  <c r="H270" i="1"/>
  <c r="H778" i="1"/>
  <c r="H204" i="1"/>
  <c r="D295" i="1"/>
  <c r="H295" i="1"/>
  <c r="H668" i="1"/>
  <c r="D416" i="1"/>
  <c r="H777" i="1"/>
  <c r="H428" i="1"/>
  <c r="D457" i="1"/>
  <c r="D370" i="1"/>
  <c r="H578" i="1"/>
  <c r="H857" i="1"/>
  <c r="D229" i="1"/>
  <c r="D263" i="1"/>
  <c r="D557" i="1"/>
  <c r="H447" i="1"/>
  <c r="H589" i="1"/>
  <c r="D589" i="1"/>
  <c r="D472" i="1"/>
  <c r="D688" i="1"/>
  <c r="H688" i="1"/>
  <c r="D700" i="1"/>
  <c r="H359" i="1"/>
  <c r="D359" i="1"/>
  <c r="D240" i="1"/>
  <c r="H756" i="1"/>
  <c r="F1024" i="1"/>
  <c r="H656" i="1"/>
  <c r="D656" i="1"/>
  <c r="D600" i="1"/>
  <c r="H600" i="1"/>
  <c r="D768" i="1"/>
  <c r="F528" i="1"/>
  <c r="J528" i="1"/>
  <c r="D149" i="1"/>
  <c r="H734" i="1"/>
  <c r="D734" i="1"/>
  <c r="D526" i="1"/>
  <c r="H558" i="1"/>
  <c r="D558" i="1"/>
  <c r="D314" i="1"/>
  <c r="H314" i="1"/>
  <c r="H505" i="1"/>
  <c r="D505" i="1"/>
  <c r="D623" i="1"/>
  <c r="D515" i="1"/>
  <c r="H515" i="1"/>
  <c r="H623" i="1"/>
  <c r="D578" i="1"/>
  <c r="D648" i="1"/>
  <c r="H129" i="1"/>
  <c r="D129" i="1"/>
  <c r="H648" i="1"/>
  <c r="H404" i="1"/>
  <c r="D404" i="1"/>
  <c r="D612" i="1"/>
  <c r="H612" i="1"/>
  <c r="H548" i="1"/>
  <c r="H127" i="1"/>
  <c r="D127" i="1"/>
  <c r="H174" i="1"/>
  <c r="D174" i="1"/>
  <c r="H150" i="1"/>
  <c r="D150" i="1"/>
  <c r="D369" i="1"/>
  <c r="H369" i="1"/>
  <c r="D163" i="1"/>
  <c r="H909" i="1"/>
  <c r="D909" i="1"/>
  <c r="H637" i="1"/>
  <c r="H406" i="1"/>
  <c r="H161" i="1"/>
  <c r="D161" i="1"/>
  <c r="D822" i="1"/>
  <c r="H822" i="1"/>
  <c r="D537" i="1"/>
  <c r="H537" i="1"/>
  <c r="H493" i="1"/>
  <c r="D361" i="1"/>
  <c r="H305" i="1"/>
  <c r="D305" i="1"/>
  <c r="D802" i="1"/>
  <c r="H802" i="1"/>
  <c r="D415" i="1"/>
  <c r="H604" i="1"/>
  <c r="D604" i="1"/>
  <c r="H536" i="1"/>
  <c r="D536" i="1"/>
  <c r="D303" i="1"/>
  <c r="H303" i="1"/>
  <c r="H790" i="1"/>
  <c r="D481" i="1"/>
  <c r="D613" i="1"/>
  <c r="H602" i="1"/>
  <c r="D425" i="1"/>
  <c r="D902" i="1"/>
  <c r="D779" i="1"/>
  <c r="D622" i="1"/>
  <c r="H622" i="1"/>
  <c r="H140" i="1"/>
  <c r="D571" i="1"/>
  <c r="H516" i="1"/>
  <c r="D516" i="1"/>
  <c r="D402" i="1"/>
  <c r="D358" i="1"/>
  <c r="H283" i="1"/>
  <c r="D283" i="1"/>
  <c r="H149" i="1"/>
  <c r="D831" i="1"/>
  <c r="D97" i="1"/>
  <c r="H95" i="1"/>
  <c r="H592" i="1"/>
  <c r="H776" i="1"/>
  <c r="H746" i="1"/>
  <c r="D746" i="1"/>
  <c r="H1701" i="1"/>
  <c r="H878" i="1"/>
  <c r="D878" i="1"/>
  <c r="H789" i="1"/>
  <c r="F980" i="1"/>
  <c r="D592" i="1"/>
  <c r="H801" i="1"/>
  <c r="D633" i="1"/>
  <c r="H633" i="1"/>
  <c r="H952" i="1"/>
  <c r="H923" i="1"/>
  <c r="H930" i="1"/>
  <c r="D96" i="1"/>
  <c r="H108" i="1"/>
  <c r="D84" i="1"/>
  <c r="D86" i="1"/>
  <c r="D933" i="1"/>
  <c r="D383" i="1"/>
  <c r="H383" i="1"/>
  <c r="D204" i="1"/>
  <c r="H117" i="1"/>
  <c r="H724" i="1"/>
  <c r="D117" i="1"/>
  <c r="G1673" i="1"/>
  <c r="H954" i="1"/>
  <c r="J968" i="1"/>
  <c r="D701" i="1"/>
  <c r="H701" i="1"/>
  <c r="J671" i="1"/>
  <c r="H182" i="1"/>
  <c r="D182" i="1"/>
  <c r="H285" i="1"/>
  <c r="D285" i="1"/>
  <c r="H171" i="1"/>
  <c r="J891" i="1"/>
  <c r="D83" i="1"/>
  <c r="H75" i="1"/>
  <c r="D251" i="1"/>
  <c r="H834" i="1"/>
  <c r="D834" i="1"/>
  <c r="F616" i="1"/>
  <c r="H119" i="1"/>
  <c r="D447" i="1"/>
  <c r="H535" i="1"/>
  <c r="D494" i="1"/>
  <c r="H494" i="1"/>
  <c r="D980" i="1"/>
  <c r="H567" i="1"/>
  <c r="D62" i="1"/>
  <c r="D64" i="1"/>
  <c r="H227" i="1"/>
  <c r="D227" i="1"/>
  <c r="D725" i="1"/>
  <c r="H725" i="1"/>
  <c r="D238" i="1"/>
  <c r="D138" i="1"/>
  <c r="D215" i="1"/>
  <c r="D932" i="1"/>
  <c r="H932" i="1"/>
  <c r="D798" i="1"/>
  <c r="H138" i="1"/>
  <c r="B66" i="1"/>
  <c r="D667" i="1"/>
  <c r="H667" i="1"/>
  <c r="H689" i="1"/>
  <c r="D689" i="1"/>
  <c r="D681" i="1"/>
  <c r="D185" i="1"/>
  <c r="D791" i="1"/>
  <c r="H393" i="1"/>
  <c r="D393" i="1"/>
  <c r="J143" i="1"/>
  <c r="H458" i="1"/>
  <c r="H52" i="1"/>
  <c r="D371" i="1"/>
  <c r="H371" i="1"/>
  <c r="H417" i="1"/>
  <c r="D417" i="1"/>
  <c r="J297" i="1"/>
  <c r="F297" i="1"/>
  <c r="H853" i="1"/>
  <c r="D853" i="1"/>
  <c r="D471" i="1"/>
  <c r="H471" i="1"/>
  <c r="H425" i="1"/>
  <c r="D534" i="1"/>
  <c r="H239" i="1"/>
  <c r="D239" i="1"/>
  <c r="H196" i="1"/>
  <c r="F330" i="1"/>
  <c r="D800" i="1"/>
  <c r="H556" i="1"/>
  <c r="J253" i="1"/>
  <c r="F253" i="1"/>
  <c r="H956" i="1"/>
  <c r="D186" i="1"/>
  <c r="D173" i="1"/>
  <c r="H713" i="1"/>
  <c r="H582" i="1"/>
  <c r="H933" i="1"/>
  <c r="H864" i="1"/>
  <c r="D864" i="1"/>
  <c r="H791" i="1"/>
  <c r="H702" i="1"/>
  <c r="D523" i="1"/>
  <c r="H523" i="1"/>
  <c r="H116" i="1"/>
  <c r="D116" i="1"/>
  <c r="D219" i="1"/>
  <c r="D1497" i="1"/>
  <c r="D1024" i="1"/>
  <c r="D952" i="1"/>
  <c r="J748" i="1"/>
  <c r="H732" i="1"/>
  <c r="G1695" i="1"/>
  <c r="D1156" i="1"/>
  <c r="D855" i="1"/>
  <c r="H241" i="1"/>
  <c r="H326" i="1"/>
  <c r="D635" i="1"/>
  <c r="D767" i="1"/>
  <c r="F770" i="1"/>
  <c r="D823" i="1"/>
  <c r="D669" i="1"/>
  <c r="D384" i="1"/>
  <c r="H813" i="1"/>
  <c r="D195" i="1"/>
  <c r="H1244" i="1"/>
  <c r="F484" i="1"/>
  <c r="F143" i="1"/>
  <c r="D448" i="1"/>
  <c r="D625" i="1"/>
  <c r="D183" i="1"/>
  <c r="H372" i="1"/>
  <c r="D1563" i="1"/>
  <c r="D1442" i="1"/>
  <c r="F660" i="1"/>
  <c r="F319" i="1"/>
  <c r="D351" i="1"/>
  <c r="H867" i="1"/>
  <c r="M723" i="1"/>
  <c r="H787" i="1"/>
  <c r="D392" i="1"/>
  <c r="D766" i="1"/>
  <c r="H919" i="1"/>
  <c r="H230" i="1"/>
  <c r="H1651" i="1"/>
  <c r="B231" i="1"/>
  <c r="H231" i="1"/>
  <c r="J660" i="1"/>
  <c r="H197" i="1"/>
  <c r="H479" i="1"/>
  <c r="D546" i="1"/>
  <c r="J770" i="1"/>
  <c r="F385" i="1"/>
  <c r="H207" i="1"/>
  <c r="D106" i="1"/>
  <c r="F627" i="1"/>
  <c r="H921" i="1"/>
  <c r="F550" i="1"/>
  <c r="D373" i="1"/>
  <c r="I1728" i="1"/>
  <c r="J1728" i="1"/>
  <c r="H1563" i="1"/>
  <c r="H1200" i="1"/>
  <c r="D1134" i="1"/>
  <c r="M767" i="1"/>
  <c r="F121" i="1"/>
  <c r="B605" i="1"/>
  <c r="D605" i="1"/>
  <c r="H1013" i="1"/>
  <c r="J836" i="1"/>
  <c r="F814" i="1"/>
  <c r="J616" i="1"/>
  <c r="B418" i="1"/>
  <c r="D418" i="1"/>
  <c r="H799" i="1"/>
  <c r="M745" i="1"/>
  <c r="D887" i="1"/>
  <c r="D754" i="1"/>
  <c r="D492" i="1"/>
  <c r="B374" i="1"/>
  <c r="D53" i="1"/>
  <c r="D187" i="1"/>
  <c r="F110" i="1"/>
  <c r="H414" i="1"/>
  <c r="H152" i="1"/>
  <c r="D336" i="1"/>
  <c r="D1222" i="1"/>
  <c r="D172" i="1"/>
  <c r="D1288" i="1"/>
  <c r="D1969" i="1"/>
  <c r="H1969" i="1"/>
  <c r="H854" i="1"/>
  <c r="D714" i="1"/>
  <c r="H714" i="1"/>
  <c r="H590" i="1"/>
  <c r="D590" i="1"/>
  <c r="F594" i="1"/>
  <c r="J594" i="1"/>
  <c r="H469" i="1"/>
  <c r="D469" i="1"/>
  <c r="H362" i="1"/>
  <c r="D362" i="1"/>
  <c r="H340" i="1"/>
  <c r="D340" i="1"/>
  <c r="H273" i="1"/>
  <c r="D273" i="1"/>
  <c r="J99" i="1"/>
  <c r="H944" i="1"/>
  <c r="D1475" i="1"/>
  <c r="J902" i="1"/>
  <c r="H856" i="1"/>
  <c r="D480" i="1"/>
  <c r="H480" i="1"/>
  <c r="D391" i="1"/>
  <c r="H391" i="1"/>
  <c r="H293" i="1"/>
  <c r="D293" i="1"/>
  <c r="D281" i="1"/>
  <c r="B286" i="1"/>
  <c r="H281" i="1"/>
  <c r="F946" i="1"/>
  <c r="D677" i="1"/>
  <c r="H677" i="1"/>
  <c r="D514" i="1"/>
  <c r="H514" i="1"/>
  <c r="D338" i="1"/>
  <c r="D99" i="1"/>
  <c r="D733" i="1"/>
  <c r="B616" i="1"/>
  <c r="H616" i="1"/>
  <c r="D306" i="1"/>
  <c r="H306" i="1"/>
  <c r="D459" i="1"/>
  <c r="F836" i="1"/>
  <c r="J1090" i="1"/>
  <c r="D912" i="1"/>
  <c r="B913" i="1"/>
  <c r="H913" i="1"/>
  <c r="H912" i="1"/>
  <c r="F363" i="1"/>
  <c r="D329" i="1"/>
  <c r="H329" i="1"/>
  <c r="D655" i="1"/>
  <c r="H655" i="1"/>
  <c r="D923" i="1"/>
  <c r="H744" i="1"/>
  <c r="B748" i="1"/>
  <c r="J451" i="1"/>
  <c r="F451" i="1"/>
  <c r="H439" i="1"/>
  <c r="D439" i="1"/>
  <c r="D162" i="1"/>
  <c r="H162" i="1"/>
  <c r="F803" i="1"/>
  <c r="J803" i="1"/>
  <c r="D580" i="1"/>
  <c r="H580" i="1"/>
  <c r="B946" i="1"/>
  <c r="D946" i="1"/>
  <c r="H942" i="1"/>
  <c r="D942" i="1"/>
  <c r="H757" i="1"/>
  <c r="D757" i="1"/>
  <c r="D703" i="1"/>
  <c r="H703" i="1"/>
  <c r="F561" i="1"/>
  <c r="H559" i="1"/>
  <c r="D559" i="1"/>
  <c r="H72" i="1"/>
  <c r="D31" i="1"/>
  <c r="F33" i="1"/>
  <c r="J33" i="1"/>
  <c r="D32" i="1"/>
  <c r="H659" i="1"/>
  <c r="D659" i="1"/>
  <c r="H426" i="1"/>
  <c r="D426" i="1"/>
  <c r="F759" i="1"/>
  <c r="J759" i="1"/>
  <c r="B198" i="1"/>
  <c r="J209" i="1"/>
  <c r="D1299" i="1"/>
  <c r="D87" i="1"/>
  <c r="D844" i="1"/>
  <c r="B627" i="1"/>
  <c r="D627" i="1"/>
  <c r="H624" i="1"/>
  <c r="D624" i="1"/>
  <c r="H865" i="1"/>
  <c r="D865" i="1"/>
  <c r="B88" i="1"/>
  <c r="J781" i="1"/>
  <c r="H549" i="1"/>
  <c r="H130" i="1"/>
  <c r="H1909" i="1"/>
  <c r="B572" i="1"/>
  <c r="D54" i="1"/>
  <c r="D85" i="1"/>
  <c r="D991" i="1"/>
  <c r="F539" i="1"/>
  <c r="D658" i="1"/>
  <c r="J275" i="1"/>
  <c r="D920" i="1"/>
  <c r="J913" i="1"/>
  <c r="D593" i="1"/>
  <c r="H593" i="1"/>
  <c r="D461" i="1"/>
  <c r="D1277" i="1"/>
  <c r="H1277" i="1"/>
  <c r="F132" i="1"/>
  <c r="D317" i="1"/>
  <c r="D755" i="1"/>
  <c r="F352" i="1"/>
  <c r="J352" i="1"/>
  <c r="D130" i="1"/>
  <c r="J396" i="1"/>
  <c r="H877" i="1"/>
  <c r="B385" i="1"/>
  <c r="D385" i="1"/>
  <c r="J440" i="1"/>
  <c r="H85" i="1"/>
  <c r="H846" i="1"/>
  <c r="H922" i="1"/>
  <c r="H1541" i="1"/>
  <c r="H1398" i="1"/>
  <c r="J1079" i="1"/>
  <c r="M819" i="1"/>
  <c r="F1035" i="1"/>
  <c r="D153" i="1"/>
  <c r="H153" i="1"/>
  <c r="H206" i="1"/>
  <c r="B209" i="1"/>
  <c r="H209" i="1"/>
  <c r="G1068" i="1"/>
  <c r="H1068" i="1"/>
  <c r="F517" i="1"/>
  <c r="D347" i="1"/>
  <c r="B847" i="1"/>
  <c r="H438" i="1"/>
  <c r="D842" i="1"/>
  <c r="H842" i="1"/>
  <c r="H723" i="1"/>
  <c r="D723" i="1"/>
  <c r="D647" i="1"/>
  <c r="H647" i="1"/>
  <c r="F506" i="1"/>
  <c r="J506" i="1"/>
  <c r="H292" i="1"/>
  <c r="F165" i="1"/>
  <c r="J165" i="1"/>
  <c r="D30" i="1"/>
  <c r="F869" i="1"/>
  <c r="J869" i="1"/>
  <c r="H261" i="1"/>
  <c r="D261" i="1"/>
  <c r="H889" i="1"/>
  <c r="H579" i="1"/>
  <c r="D579" i="1"/>
  <c r="G1706" i="1"/>
  <c r="H1706" i="1"/>
  <c r="D502" i="1"/>
  <c r="D736" i="1"/>
  <c r="H736" i="1"/>
  <c r="D615" i="1"/>
  <c r="H615" i="1"/>
  <c r="D569" i="1"/>
  <c r="D504" i="1"/>
  <c r="H504" i="1"/>
  <c r="D206" i="1"/>
  <c r="D29" i="1"/>
  <c r="D40" i="1"/>
  <c r="H42" i="1"/>
  <c r="B44" i="1"/>
  <c r="H44" i="1"/>
  <c r="D88" i="1"/>
  <c r="D44" i="1"/>
  <c r="D614" i="1"/>
  <c r="D545" i="1"/>
  <c r="H545" i="1"/>
  <c r="H460" i="1"/>
  <c r="D460" i="1"/>
  <c r="H405" i="1"/>
  <c r="D405" i="1"/>
  <c r="J187" i="1"/>
  <c r="J88" i="1"/>
  <c r="F88" i="1"/>
  <c r="H51" i="1"/>
  <c r="D51" i="1"/>
  <c r="H304" i="1"/>
  <c r="D139" i="1"/>
  <c r="M734" i="1"/>
  <c r="F991" i="1"/>
  <c r="D710" i="1"/>
  <c r="F462" i="1"/>
  <c r="J462" i="1"/>
  <c r="H226" i="1"/>
  <c r="D226" i="1"/>
  <c r="F693" i="1"/>
  <c r="H690" i="1"/>
  <c r="H501" i="1"/>
  <c r="D1365" i="1"/>
  <c r="F902" i="1"/>
  <c r="D778" i="1"/>
  <c r="D765" i="1"/>
  <c r="H765" i="1"/>
  <c r="D568" i="1"/>
  <c r="H560" i="1"/>
  <c r="B429" i="1"/>
  <c r="H403" i="1"/>
  <c r="D403" i="1"/>
  <c r="D205" i="1"/>
  <c r="H205" i="1"/>
  <c r="H955" i="1"/>
  <c r="D955" i="1"/>
  <c r="H503" i="1"/>
  <c r="D503" i="1"/>
  <c r="H394" i="1"/>
  <c r="D394" i="1"/>
  <c r="M756" i="1"/>
  <c r="D758" i="1"/>
  <c r="H758" i="1"/>
  <c r="F715" i="1"/>
  <c r="H812" i="1"/>
  <c r="J825" i="1"/>
  <c r="F825" i="1"/>
  <c r="D591" i="1"/>
  <c r="H1680" i="1"/>
  <c r="B836" i="1"/>
  <c r="H836" i="1"/>
  <c r="F1046" i="1"/>
  <c r="D711" i="1"/>
  <c r="H910" i="1"/>
  <c r="H745" i="1"/>
  <c r="D645" i="1"/>
  <c r="H645" i="1"/>
  <c r="H427" i="1"/>
  <c r="D427" i="1"/>
  <c r="B396" i="1"/>
  <c r="D396" i="1"/>
  <c r="H348" i="1"/>
  <c r="D348" i="1"/>
  <c r="J66" i="1"/>
  <c r="F66" i="1"/>
  <c r="H491" i="1"/>
  <c r="D491" i="1"/>
  <c r="D824" i="1"/>
  <c r="H824" i="1"/>
  <c r="D1929" i="1"/>
  <c r="H591" i="1"/>
  <c r="M778" i="1"/>
  <c r="D626" i="1"/>
  <c r="H879" i="1"/>
  <c r="D879" i="1"/>
  <c r="F495" i="1"/>
  <c r="D381" i="1"/>
  <c r="H381" i="1"/>
  <c r="H164" i="1"/>
  <c r="D164" i="1"/>
  <c r="B55" i="1"/>
  <c r="H55" i="1"/>
  <c r="F583" i="1"/>
  <c r="D294" i="1"/>
  <c r="D350" i="1"/>
  <c r="H350" i="1"/>
  <c r="H141" i="1"/>
  <c r="D141" i="1"/>
  <c r="D1079" i="1"/>
  <c r="D1068" i="1"/>
  <c r="D968" i="1"/>
  <c r="H886" i="1"/>
  <c r="D886" i="1"/>
  <c r="D810" i="1"/>
  <c r="H810" i="1"/>
  <c r="B814" i="1"/>
  <c r="H814" i="1"/>
  <c r="D691" i="1"/>
  <c r="H691" i="1"/>
  <c r="D483" i="1"/>
  <c r="H483" i="1"/>
  <c r="D437" i="1"/>
  <c r="H437" i="1"/>
  <c r="H271" i="1"/>
  <c r="D271" i="1"/>
  <c r="H237" i="1"/>
  <c r="D237" i="1"/>
  <c r="J176" i="1"/>
  <c r="D118" i="1"/>
  <c r="H50" i="1"/>
  <c r="D50" i="1"/>
  <c r="D208" i="1"/>
  <c r="D814" i="1"/>
  <c r="H396" i="1"/>
  <c r="D451" i="1"/>
  <c r="D847" i="1"/>
  <c r="H847" i="1"/>
  <c r="D572" i="1"/>
  <c r="H572" i="1"/>
  <c r="H198" i="1"/>
  <c r="D198" i="1"/>
  <c r="F1063" i="1"/>
  <c r="J1063" i="1"/>
  <c r="F572" i="1"/>
  <c r="D512" i="1"/>
  <c r="H512" i="1"/>
  <c r="H339" i="1"/>
  <c r="D339" i="1"/>
  <c r="D105" i="1"/>
  <c r="H105" i="1"/>
  <c r="D28" i="1"/>
  <c r="H28" i="1"/>
  <c r="D193" i="1"/>
  <c r="B33" i="1"/>
  <c r="D33" i="1"/>
  <c r="H374" i="1"/>
  <c r="D374" i="1"/>
  <c r="H747" i="1"/>
  <c r="D747" i="1"/>
  <c r="J726" i="1"/>
  <c r="H657" i="1"/>
  <c r="D657" i="1"/>
  <c r="B660" i="1"/>
  <c r="H660" i="1"/>
  <c r="H646" i="1"/>
  <c r="D646" i="1"/>
  <c r="D436" i="1"/>
  <c r="B440" i="1"/>
  <c r="H440" i="1"/>
  <c r="H436" i="1"/>
  <c r="D424" i="1"/>
  <c r="H424" i="1"/>
  <c r="F231" i="1"/>
  <c r="J231" i="1"/>
  <c r="H142" i="1"/>
  <c r="B143" i="1"/>
  <c r="D143" i="1"/>
  <c r="D142" i="1"/>
  <c r="H65" i="1"/>
  <c r="D65" i="1"/>
  <c r="D680" i="1"/>
  <c r="H680" i="1"/>
  <c r="H274" i="1"/>
  <c r="B275" i="1"/>
  <c r="H275" i="1"/>
  <c r="D274" i="1"/>
  <c r="D262" i="1"/>
  <c r="H262" i="1"/>
  <c r="D769" i="1"/>
  <c r="H769" i="1"/>
  <c r="B770" i="1"/>
  <c r="H770" i="1"/>
  <c r="J242" i="1"/>
  <c r="F242" i="1"/>
  <c r="D934" i="1"/>
  <c r="H934" i="1"/>
  <c r="B891" i="1"/>
  <c r="D888" i="1"/>
  <c r="H888" i="1"/>
  <c r="D788" i="1"/>
  <c r="H788" i="1"/>
  <c r="D666" i="1"/>
  <c r="H666" i="1"/>
  <c r="B671" i="1"/>
  <c r="D581" i="1"/>
  <c r="H581" i="1"/>
  <c r="B583" i="1"/>
  <c r="D583" i="1"/>
  <c r="D446" i="1"/>
  <c r="B451" i="1"/>
  <c r="H451" i="1"/>
  <c r="H446" i="1"/>
  <c r="H957" i="1"/>
  <c r="B935" i="1"/>
  <c r="D911" i="1"/>
  <c r="H911" i="1"/>
  <c r="F880" i="1"/>
  <c r="F858" i="1"/>
  <c r="B792" i="1"/>
  <c r="J682" i="1"/>
  <c r="F682" i="1"/>
  <c r="D603" i="1"/>
  <c r="H603" i="1"/>
  <c r="D473" i="1"/>
  <c r="H473" i="1"/>
  <c r="H296" i="1"/>
  <c r="D296" i="1"/>
  <c r="H160" i="1"/>
  <c r="D160" i="1"/>
  <c r="B165" i="1"/>
  <c r="H165" i="1"/>
  <c r="H73" i="1"/>
  <c r="D73" i="1"/>
  <c r="B341" i="1"/>
  <c r="H341" i="1"/>
  <c r="D337" i="1"/>
  <c r="H337" i="1"/>
  <c r="D19" i="1"/>
  <c r="H19" i="1"/>
  <c r="B22" i="1"/>
  <c r="D22" i="1"/>
  <c r="D1321" i="1"/>
  <c r="H1321" i="1"/>
  <c r="D953" i="1"/>
  <c r="B957" i="1"/>
  <c r="D957" i="1"/>
  <c r="H953" i="1"/>
  <c r="H748" i="1"/>
  <c r="D748" i="1"/>
  <c r="J847" i="1"/>
  <c r="H1673" i="1"/>
  <c r="H809" i="1"/>
  <c r="D809" i="1"/>
  <c r="F792" i="1"/>
  <c r="J792" i="1"/>
  <c r="D770" i="1"/>
  <c r="H710" i="1"/>
  <c r="B715" i="1"/>
  <c r="D611" i="1"/>
  <c r="H611" i="1"/>
  <c r="J308" i="1"/>
  <c r="F308" i="1"/>
  <c r="B264" i="1"/>
  <c r="H175" i="1"/>
  <c r="B176" i="1"/>
  <c r="D175" i="1"/>
  <c r="D1266" i="1"/>
  <c r="H1266" i="1"/>
  <c r="D876" i="1"/>
  <c r="M841" i="1"/>
  <c r="F1101" i="1"/>
  <c r="D252" i="1"/>
  <c r="D429" i="1"/>
  <c r="H429" i="1"/>
  <c r="D217" i="1"/>
  <c r="F1002" i="1"/>
  <c r="D913" i="1"/>
  <c r="D821" i="1"/>
  <c r="H821" i="1"/>
  <c r="H722" i="1"/>
  <c r="D722" i="1"/>
  <c r="D704" i="1"/>
  <c r="H704" i="1"/>
  <c r="H502" i="1"/>
  <c r="B506" i="1"/>
  <c r="B495" i="1"/>
  <c r="H490" i="1"/>
  <c r="D490" i="1"/>
  <c r="J473" i="1"/>
  <c r="H382" i="1"/>
  <c r="D382" i="1"/>
  <c r="H98" i="1"/>
  <c r="D98" i="1"/>
  <c r="D660" i="1"/>
  <c r="D327" i="1"/>
  <c r="H327" i="1"/>
  <c r="D286" i="1"/>
  <c r="H286" i="1"/>
  <c r="D66" i="1"/>
  <c r="H66" i="1"/>
  <c r="D1939" i="1"/>
  <c r="H1939" i="1"/>
  <c r="D843" i="1"/>
  <c r="H843" i="1"/>
  <c r="F418" i="1"/>
  <c r="J418" i="1"/>
  <c r="H351" i="1"/>
  <c r="B352" i="1"/>
  <c r="H352" i="1"/>
  <c r="H88" i="1"/>
  <c r="B649" i="1"/>
  <c r="B858" i="1"/>
  <c r="B242" i="1"/>
  <c r="F704" i="1"/>
  <c r="D119" i="1"/>
  <c r="H151" i="1"/>
  <c r="D931" i="1"/>
  <c r="D260" i="1"/>
  <c r="D1376" i="1"/>
  <c r="D1145" i="1"/>
  <c r="F1090" i="1"/>
  <c r="J957" i="1"/>
  <c r="H931" i="1"/>
  <c r="H920" i="1"/>
  <c r="D833" i="1"/>
  <c r="D811" i="1"/>
  <c r="D670" i="1"/>
  <c r="D634" i="1"/>
  <c r="D636" i="1"/>
  <c r="H601" i="1"/>
  <c r="F605" i="1"/>
  <c r="H380" i="1"/>
  <c r="D360" i="1"/>
  <c r="H307" i="1"/>
  <c r="H131" i="1"/>
  <c r="H94" i="1"/>
  <c r="H61" i="1"/>
  <c r="D17" i="1"/>
  <c r="B308" i="1"/>
  <c r="D308" i="1"/>
  <c r="B462" i="1"/>
  <c r="B154" i="1"/>
  <c r="H418" i="1"/>
  <c r="B803" i="1"/>
  <c r="D803" i="1"/>
  <c r="H260" i="1"/>
  <c r="H184" i="1"/>
  <c r="D890" i="1"/>
  <c r="H700" i="1"/>
  <c r="H634" i="1"/>
  <c r="H1607" i="1"/>
  <c r="H1431" i="1"/>
  <c r="H1387" i="1"/>
  <c r="H1354" i="1"/>
  <c r="H1299" i="1"/>
  <c r="D1244" i="1"/>
  <c r="H1046" i="1"/>
  <c r="J991" i="1"/>
  <c r="B825" i="1"/>
  <c r="H825" i="1"/>
  <c r="H638" i="1"/>
  <c r="D297" i="1"/>
  <c r="J121" i="1"/>
  <c r="B77" i="1"/>
  <c r="J44" i="1"/>
  <c r="H33" i="1"/>
  <c r="B297" i="1"/>
  <c r="H297" i="1"/>
  <c r="I1706" i="1"/>
  <c r="J1706" i="1"/>
  <c r="H868" i="1"/>
  <c r="B363" i="1"/>
  <c r="H363" i="1"/>
  <c r="D184" i="1"/>
  <c r="G1717" i="1"/>
  <c r="H1640" i="1"/>
  <c r="H1574" i="1"/>
  <c r="H1332" i="1"/>
  <c r="H1057" i="1"/>
  <c r="F935" i="1"/>
  <c r="B737" i="1"/>
  <c r="H737" i="1"/>
  <c r="J550" i="1"/>
  <c r="B528" i="1"/>
  <c r="B407" i="1"/>
  <c r="H407" i="1"/>
  <c r="J407" i="1"/>
  <c r="H21" i="1"/>
  <c r="J286" i="1"/>
  <c r="J374" i="1"/>
  <c r="H945" i="1"/>
  <c r="B869" i="1"/>
  <c r="H869" i="1"/>
  <c r="D94" i="1"/>
  <c r="G1684" i="1"/>
  <c r="H1684" i="1"/>
  <c r="H1519" i="1"/>
  <c r="D1123" i="1"/>
  <c r="F671" i="1"/>
  <c r="B132" i="1"/>
  <c r="J22" i="1"/>
  <c r="J264" i="1"/>
  <c r="B319" i="1"/>
  <c r="D835" i="1"/>
  <c r="D527" i="1"/>
  <c r="H866" i="1"/>
  <c r="D941" i="1"/>
  <c r="D644" i="1"/>
  <c r="H449" i="1"/>
  <c r="D692" i="1"/>
  <c r="H1618" i="1"/>
  <c r="H1530" i="1"/>
  <c r="D1431" i="1"/>
  <c r="H1255" i="1"/>
  <c r="J946" i="1"/>
  <c r="J693" i="1"/>
  <c r="F396" i="1"/>
  <c r="J154" i="1"/>
  <c r="F77" i="1"/>
  <c r="H22" i="1"/>
  <c r="D76" i="1"/>
  <c r="J220" i="1"/>
  <c r="H1376" i="1"/>
  <c r="D1673" i="1"/>
  <c r="D1629" i="1"/>
  <c r="D1420" i="1"/>
  <c r="D1211" i="1"/>
  <c r="D1057" i="1"/>
  <c r="F781" i="1"/>
  <c r="B759" i="1"/>
  <c r="D759" i="1"/>
  <c r="B594" i="1"/>
  <c r="F209" i="1"/>
  <c r="J11" i="1"/>
  <c r="D8" i="1"/>
  <c r="D7" i="1"/>
  <c r="F11" i="1"/>
  <c r="B11" i="1"/>
  <c r="D11" i="1"/>
  <c r="D6" i="1"/>
  <c r="D9" i="1"/>
  <c r="H528" i="1"/>
  <c r="D528" i="1"/>
  <c r="D77" i="1"/>
  <c r="H77" i="1"/>
  <c r="D1167" i="1"/>
  <c r="H1167" i="1"/>
  <c r="D328" i="1"/>
  <c r="H328" i="1"/>
  <c r="H435" i="1"/>
  <c r="D435" i="1"/>
  <c r="D121" i="1"/>
  <c r="B682" i="1"/>
  <c r="D74" i="1"/>
  <c r="D275" i="1"/>
  <c r="H733" i="1"/>
  <c r="D721" i="1"/>
  <c r="D1530" i="1"/>
  <c r="H1420" i="1"/>
  <c r="D1354" i="1"/>
  <c r="H1145" i="1"/>
  <c r="H832" i="1"/>
  <c r="D832" i="1"/>
  <c r="H450" i="1"/>
  <c r="D450" i="1"/>
  <c r="F187" i="1"/>
  <c r="D120" i="1"/>
  <c r="H120" i="1"/>
  <c r="D875" i="1"/>
  <c r="H875" i="1"/>
  <c r="D55" i="1"/>
  <c r="D679" i="1"/>
  <c r="H583" i="1"/>
  <c r="D1574" i="1"/>
  <c r="D231" i="1"/>
  <c r="H946" i="1"/>
  <c r="D1332" i="1"/>
  <c r="H1552" i="1"/>
  <c r="H74" i="1"/>
  <c r="B330" i="1"/>
  <c r="D330" i="1"/>
  <c r="B726" i="1"/>
  <c r="D1046" i="1"/>
  <c r="J737" i="1"/>
  <c r="F737" i="1"/>
  <c r="H10" i="1"/>
  <c r="D10" i="1"/>
  <c r="D836" i="1"/>
  <c r="B517" i="1"/>
  <c r="H1101" i="1"/>
  <c r="F1067" i="1"/>
  <c r="I1068" i="1"/>
  <c r="J1068" i="1"/>
  <c r="J1067" i="1"/>
  <c r="B539" i="1"/>
  <c r="H534" i="1"/>
  <c r="H308" i="1"/>
  <c r="B880" i="1"/>
  <c r="D780" i="1"/>
  <c r="D513" i="1"/>
  <c r="D845" i="1"/>
  <c r="H845" i="1"/>
  <c r="H605" i="1"/>
  <c r="H468" i="1"/>
  <c r="D468" i="1"/>
  <c r="F429" i="1"/>
  <c r="J429" i="1"/>
  <c r="H128" i="1"/>
  <c r="D128" i="1"/>
  <c r="D820" i="1"/>
  <c r="H820" i="1"/>
  <c r="H524" i="1"/>
  <c r="D524" i="1"/>
  <c r="B693" i="1"/>
  <c r="H924" i="1"/>
  <c r="D616" i="1"/>
  <c r="D869" i="1"/>
  <c r="H1919" i="1"/>
  <c r="G1728" i="1"/>
  <c r="H1728" i="1"/>
  <c r="H1464" i="1"/>
  <c r="D1464" i="1"/>
  <c r="H1002" i="1"/>
  <c r="B550" i="1"/>
  <c r="D547" i="1"/>
  <c r="H547" i="1"/>
  <c r="B484" i="1"/>
  <c r="H481" i="1"/>
  <c r="D407" i="1"/>
  <c r="F341" i="1"/>
  <c r="J341" i="1"/>
  <c r="D349" i="1"/>
  <c r="H349" i="1"/>
  <c r="D284" i="1"/>
  <c r="H284" i="1"/>
  <c r="D107" i="1"/>
  <c r="B110" i="1"/>
  <c r="D110" i="1"/>
  <c r="H107" i="1"/>
  <c r="H43" i="1"/>
  <c r="D43" i="1"/>
  <c r="D218" i="1"/>
  <c r="H218" i="1"/>
  <c r="F44" i="1"/>
  <c r="H385" i="1"/>
  <c r="B220" i="1"/>
  <c r="H220" i="1"/>
  <c r="J935" i="1"/>
  <c r="H908" i="1"/>
  <c r="D908" i="1"/>
  <c r="B781" i="1"/>
  <c r="H781" i="1"/>
  <c r="H759" i="1"/>
  <c r="D556" i="1"/>
  <c r="B561" i="1"/>
  <c r="H395" i="1"/>
  <c r="D395" i="1"/>
  <c r="D250" i="1"/>
  <c r="H250" i="1"/>
  <c r="B253" i="1"/>
  <c r="H109" i="1"/>
  <c r="D109" i="1"/>
  <c r="F22" i="1"/>
  <c r="H39" i="1"/>
  <c r="H6" i="1"/>
  <c r="H63" i="1"/>
  <c r="H858" i="1"/>
  <c r="D858" i="1"/>
  <c r="D352" i="1"/>
  <c r="D825" i="1"/>
  <c r="D132" i="1"/>
  <c r="H132" i="1"/>
  <c r="H649" i="1"/>
  <c r="D649" i="1"/>
  <c r="H264" i="1"/>
  <c r="D264" i="1"/>
  <c r="H594" i="1"/>
  <c r="D594" i="1"/>
  <c r="H495" i="1"/>
  <c r="D495" i="1"/>
  <c r="D792" i="1"/>
  <c r="H792" i="1"/>
  <c r="D440" i="1"/>
  <c r="D506" i="1"/>
  <c r="H506" i="1"/>
  <c r="D737" i="1"/>
  <c r="D341" i="1"/>
  <c r="D319" i="1"/>
  <c r="H319" i="1"/>
  <c r="H715" i="1"/>
  <c r="D715" i="1"/>
  <c r="H143" i="1"/>
  <c r="H891" i="1"/>
  <c r="D891" i="1"/>
  <c r="D165" i="1"/>
  <c r="H154" i="1"/>
  <c r="D154" i="1"/>
  <c r="D363" i="1"/>
  <c r="H462" i="1"/>
  <c r="D462" i="1"/>
  <c r="H242" i="1"/>
  <c r="D242" i="1"/>
  <c r="H803" i="1"/>
  <c r="D176" i="1"/>
  <c r="H176" i="1"/>
  <c r="H935" i="1"/>
  <c r="D935" i="1"/>
  <c r="D671" i="1"/>
  <c r="H671" i="1"/>
  <c r="H11" i="1"/>
  <c r="H682" i="1"/>
  <c r="D682" i="1"/>
  <c r="H561" i="1"/>
  <c r="D561" i="1"/>
  <c r="H693" i="1"/>
  <c r="D693" i="1"/>
  <c r="D220" i="1"/>
  <c r="D517" i="1"/>
  <c r="H517" i="1"/>
  <c r="D726" i="1"/>
  <c r="H726" i="1"/>
  <c r="H330" i="1"/>
  <c r="H253" i="1"/>
  <c r="D253" i="1"/>
  <c r="H484" i="1"/>
  <c r="D484" i="1"/>
  <c r="H110" i="1"/>
  <c r="D880" i="1"/>
  <c r="H880" i="1"/>
  <c r="H539" i="1"/>
  <c r="D539" i="1"/>
  <c r="D781" i="1"/>
  <c r="H550" i="1"/>
  <c r="D550" i="1"/>
</calcChain>
</file>

<file path=xl/sharedStrings.xml><?xml version="1.0" encoding="utf-8"?>
<sst xmlns="http://schemas.openxmlformats.org/spreadsheetml/2006/main" count="7203" uniqueCount="329">
  <si>
    <t>The number of customers and kWh's are based on as billed during the calendar month. (Not all cycles 1-99 will bill in the calendar month)</t>
  </si>
  <si>
    <t>As of January 31, 2025</t>
  </si>
  <si>
    <t>Billed by CEPs</t>
  </si>
  <si>
    <t>Billed by Standard Offer</t>
  </si>
  <si>
    <t>Total</t>
  </si>
  <si>
    <t xml:space="preserve">        Customer</t>
  </si>
  <si>
    <t>kWh</t>
  </si>
  <si>
    <t xml:space="preserve">          Customer</t>
  </si>
  <si>
    <t>Count</t>
  </si>
  <si>
    <t>%</t>
  </si>
  <si>
    <t>1. Residential</t>
  </si>
  <si>
    <t>2. Small C &amp; I     (SGS &lt; 20 kW)</t>
  </si>
  <si>
    <t>3. Medium C &amp; I  ( 20 - 399 kW)</t>
  </si>
  <si>
    <t>4. Large C &amp; I     (Over 400 kW)</t>
  </si>
  <si>
    <t>5. Deemed Lighting**</t>
  </si>
  <si>
    <t>As of December 31, 2024</t>
  </si>
  <si>
    <t>As of November 30, 2024</t>
  </si>
  <si>
    <t>As of October 31, 2024</t>
  </si>
  <si>
    <t>As of September 30, 2024</t>
  </si>
  <si>
    <t>As of August 31, 2024</t>
  </si>
  <si>
    <t>As of July 31, 2024</t>
  </si>
  <si>
    <t>As of June 30, 2024</t>
  </si>
  <si>
    <t>As of May 31, 2024</t>
  </si>
  <si>
    <t>As of April 30, 2024</t>
  </si>
  <si>
    <t xml:space="preserve"> </t>
  </si>
  <si>
    <t>As of March 31, 2024</t>
  </si>
  <si>
    <t>As of February 29, 2024</t>
  </si>
  <si>
    <t>As of January 31, 2024</t>
  </si>
  <si>
    <t>As of December 31, 2023</t>
  </si>
  <si>
    <t>As of November 30, 2023</t>
  </si>
  <si>
    <t>As of October 31, 2023</t>
  </si>
  <si>
    <t>As of September 30, 2023</t>
  </si>
  <si>
    <t>As of August 31, 2023</t>
  </si>
  <si>
    <t>As of July 31, 2023</t>
  </si>
  <si>
    <t>As of June 30, 2023</t>
  </si>
  <si>
    <t>As of May 31, 2023</t>
  </si>
  <si>
    <t>As of April 30, 2023</t>
  </si>
  <si>
    <t>As of March 31, 2023</t>
  </si>
  <si>
    <t>As of February 28, 2023</t>
  </si>
  <si>
    <t>As of January 31, 2023</t>
  </si>
  <si>
    <t>As of December 31, 2022</t>
  </si>
  <si>
    <t>As of November 30, 2022</t>
  </si>
  <si>
    <t>As of October 31, 2022</t>
  </si>
  <si>
    <t>As of September 30, 2022</t>
  </si>
  <si>
    <t>As of August 31, 2022</t>
  </si>
  <si>
    <t>As of July 31, 2022</t>
  </si>
  <si>
    <t>As of June 30, 2022</t>
  </si>
  <si>
    <t>As of May 31, 2022</t>
  </si>
  <si>
    <t>As of April 30, 2022</t>
  </si>
  <si>
    <t>As of March 31, 2022</t>
  </si>
  <si>
    <t>As of February 28, 2022</t>
  </si>
  <si>
    <t>As of January 31, 2022</t>
  </si>
  <si>
    <t>As of December 31, 2021</t>
  </si>
  <si>
    <t>As of November 30, 2021</t>
  </si>
  <si>
    <t>As of October 31, 2021</t>
  </si>
  <si>
    <t>As of September 30, 2021</t>
  </si>
  <si>
    <t>As of August 31, 2021</t>
  </si>
  <si>
    <t>As of July 31, 2021</t>
  </si>
  <si>
    <t>As of June 30, 2021</t>
  </si>
  <si>
    <t>As of May 31, 2021</t>
  </si>
  <si>
    <t>As of April 30, 2021</t>
  </si>
  <si>
    <t>As of March 31, 2021</t>
  </si>
  <si>
    <t xml:space="preserve">**this is due to credits being given to customers that have purchased their lights. </t>
  </si>
  <si>
    <t>As of February 28, 2021</t>
  </si>
  <si>
    <t>As of January 31, 2021</t>
  </si>
  <si>
    <t>5. Deemed Lighting</t>
  </si>
  <si>
    <t>As of December 31, 2020</t>
  </si>
  <si>
    <t>As of November 30, 2020</t>
  </si>
  <si>
    <t>As of October 31, 2020</t>
  </si>
  <si>
    <t>As of September 30, 2020</t>
  </si>
  <si>
    <t>As of August 31, 2020</t>
  </si>
  <si>
    <t>As of July 31, 2020</t>
  </si>
  <si>
    <t>As of June 30, 2020</t>
  </si>
  <si>
    <t>As of May 31, 2020</t>
  </si>
  <si>
    <t>As of April 30, 2020</t>
  </si>
  <si>
    <t>As of March 31, 2020</t>
  </si>
  <si>
    <t>As of February 29, 2020</t>
  </si>
  <si>
    <t>As of January 31, 2020</t>
  </si>
  <si>
    <t>As of December 31, 2019</t>
  </si>
  <si>
    <t>As of November 30, 2019</t>
  </si>
  <si>
    <t>As of October 31, 2019</t>
  </si>
  <si>
    <t>As of September 30, 2019</t>
  </si>
  <si>
    <t>As of August 31, 2019</t>
  </si>
  <si>
    <t>As of July 31, 2019</t>
  </si>
  <si>
    <t>As of June 30, 2019</t>
  </si>
  <si>
    <t>As of May 31, 2019</t>
  </si>
  <si>
    <t>As of April 30, 2019</t>
  </si>
  <si>
    <t>As of March 31, 2019</t>
  </si>
  <si>
    <t>As of February 28, 2019</t>
  </si>
  <si>
    <t>As of January 31, 2019</t>
  </si>
  <si>
    <t>As of December 31 2018</t>
  </si>
  <si>
    <t>As of November 30, 2018</t>
  </si>
  <si>
    <t>As of October 31, 2018</t>
  </si>
  <si>
    <t>As of September 30, 2018</t>
  </si>
  <si>
    <t>As of August 31, 2018</t>
  </si>
  <si>
    <t>As of July 31, 2018</t>
  </si>
  <si>
    <t>643,467 KWH</t>
  </si>
  <si>
    <t>As of June 30, 2018</t>
  </si>
  <si>
    <t>As of May 31, 2018</t>
  </si>
  <si>
    <t>As of April 30, 2018</t>
  </si>
  <si>
    <t>As of March 31, 2018</t>
  </si>
  <si>
    <t>As of February 28, 2018</t>
  </si>
  <si>
    <t>As of January 31, 2018</t>
  </si>
  <si>
    <t>As of December 31, 2017</t>
  </si>
  <si>
    <t>As of November 30, 2017</t>
  </si>
  <si>
    <t>As of October 30, 2017</t>
  </si>
  <si>
    <t>As of August 31, 2017</t>
  </si>
  <si>
    <t>As of September 30, 2017</t>
  </si>
  <si>
    <t>As of July 31, 2017</t>
  </si>
  <si>
    <t>As of June 30, 2017</t>
  </si>
  <si>
    <t>As of May 31, 2017</t>
  </si>
  <si>
    <t>As of April 30, 2017</t>
  </si>
  <si>
    <t>As of March 31, 2017</t>
  </si>
  <si>
    <t>As of February 28, 2017</t>
  </si>
  <si>
    <t>As of January 31, 2017</t>
  </si>
  <si>
    <t>As of December 31, 2016</t>
  </si>
  <si>
    <t>As of November 30, 2016</t>
  </si>
  <si>
    <t>As of October 31, 2016</t>
  </si>
  <si>
    <t>As of September 31, 2016</t>
  </si>
  <si>
    <t>As of August 30, 2016</t>
  </si>
  <si>
    <t>As of July 31, 2016</t>
  </si>
  <si>
    <t>As of June 30, 2016</t>
  </si>
  <si>
    <t>As of May 31, 2016</t>
  </si>
  <si>
    <t>As of April 30, 2016</t>
  </si>
  <si>
    <t>As of March 31, 2016</t>
  </si>
  <si>
    <t>As of October 31, 2003</t>
  </si>
  <si>
    <t>As of February 29, 2016</t>
  </si>
  <si>
    <t>As of January 31, 2016</t>
  </si>
  <si>
    <t>As of December 31, 2015</t>
  </si>
  <si>
    <t>As of November 30, 2015</t>
  </si>
  <si>
    <t>As of October 31, 2015</t>
  </si>
  <si>
    <t>As of September 30, 2015</t>
  </si>
  <si>
    <t>As of August 30, 2015</t>
  </si>
  <si>
    <t>As of July 31, 2015</t>
  </si>
  <si>
    <t>As of June 30, 2015</t>
  </si>
  <si>
    <t>As of May 31, 2015</t>
  </si>
  <si>
    <t>As of April 30, 2015</t>
  </si>
  <si>
    <t>The number of customers and kWh's are based on as billed.</t>
  </si>
  <si>
    <t>As of March 31, 2015</t>
  </si>
  <si>
    <t>As of February 28, 2015</t>
  </si>
  <si>
    <t>As of January 31, 2015</t>
  </si>
  <si>
    <t>As of December 31, 2014</t>
  </si>
  <si>
    <t>As of November 30, 2014</t>
  </si>
  <si>
    <t>As of October 31, 2014</t>
  </si>
  <si>
    <t>As of September 30, 2014</t>
  </si>
  <si>
    <t>As of August 31, 2014</t>
  </si>
  <si>
    <t>As of July 31, 2014</t>
  </si>
  <si>
    <t>As of June 30, 2014</t>
  </si>
  <si>
    <t>As of May 31, 2014</t>
  </si>
  <si>
    <t>As of April 30, 2014</t>
  </si>
  <si>
    <t>As of March 31, 2014</t>
  </si>
  <si>
    <t>As of February 28, 2014</t>
  </si>
  <si>
    <t>As of January 31, 2014</t>
  </si>
  <si>
    <t>As of December 31, 2013</t>
  </si>
  <si>
    <t>As of November 30, 2013</t>
  </si>
  <si>
    <t>As of October 31, 2013</t>
  </si>
  <si>
    <t>As of September 30, 2013</t>
  </si>
  <si>
    <t>As of August 31, 2013</t>
  </si>
  <si>
    <t>As of July 31, 2013</t>
  </si>
  <si>
    <t>As of June 30, 2013</t>
  </si>
  <si>
    <t>As of May 31, 2013</t>
  </si>
  <si>
    <t>As of April 30, 2013</t>
  </si>
  <si>
    <t>As of March 31st, 2013</t>
  </si>
  <si>
    <t>As of February 28, 2013</t>
  </si>
  <si>
    <t>As of January 31, 2013</t>
  </si>
  <si>
    <t>As of December 31, 2012</t>
  </si>
  <si>
    <t>As of November 30, 2012</t>
  </si>
  <si>
    <t>As of October 31, 2012</t>
  </si>
  <si>
    <t>As of September 30, 2012</t>
  </si>
  <si>
    <t>As of August 31, 2012</t>
  </si>
  <si>
    <t>As of July 31, 2012</t>
  </si>
  <si>
    <t>As of June 30, 2012</t>
  </si>
  <si>
    <t>As of May 31, 2012</t>
  </si>
  <si>
    <t>As of April 30, 2012</t>
  </si>
  <si>
    <t>As of March 31, 2012</t>
  </si>
  <si>
    <t>Totals</t>
  </si>
  <si>
    <t>As of Febuary 29, 2012</t>
  </si>
  <si>
    <t>As of January 31, 2012</t>
  </si>
  <si>
    <t>As of December 31, 2011</t>
  </si>
  <si>
    <t xml:space="preserve">     Enrolled with CEPs</t>
  </si>
  <si>
    <t xml:space="preserve">     In Standard Offer</t>
  </si>
  <si>
    <t>5. Deemed   (AL Only Accounts)</t>
  </si>
  <si>
    <t>As of November 30, 2011</t>
  </si>
  <si>
    <t>As of October 31, 2011</t>
  </si>
  <si>
    <t>As of September 30, 2011</t>
  </si>
  <si>
    <t>As of August 31, 2011</t>
  </si>
  <si>
    <t>As of July 31, 2011</t>
  </si>
  <si>
    <t>As of June 30, 2011</t>
  </si>
  <si>
    <t>As of May 31, 2011</t>
  </si>
  <si>
    <t>As of April 30, 2011</t>
  </si>
  <si>
    <t>As of March 31, 2011</t>
  </si>
  <si>
    <t>As of February 28, 2011</t>
  </si>
  <si>
    <t>As of January 31, 2011</t>
  </si>
  <si>
    <t>As of December 31, 2010</t>
  </si>
  <si>
    <t>As of November 30, 2010</t>
  </si>
  <si>
    <t>As of October 31, 2010</t>
  </si>
  <si>
    <t>As of September 30, 2010</t>
  </si>
  <si>
    <t>As of August 31, 2010</t>
  </si>
  <si>
    <t>As of July 31, 2010</t>
  </si>
  <si>
    <t>As of June 30, 2010</t>
  </si>
  <si>
    <t>As of May 31, 2010</t>
  </si>
  <si>
    <t>As of April 30, 2010</t>
  </si>
  <si>
    <t>As of March 31, 2010</t>
  </si>
  <si>
    <t>As of February 28, 2010</t>
  </si>
  <si>
    <t>As of January 31, 2010</t>
  </si>
  <si>
    <t>As of December 31, 2009</t>
  </si>
  <si>
    <t>As of November 30, 2009</t>
  </si>
  <si>
    <t>As of October 31, 2009</t>
  </si>
  <si>
    <t>As of September 30, 2009</t>
  </si>
  <si>
    <t>As of August 31, 2009</t>
  </si>
  <si>
    <t>As of July 31, 2009</t>
  </si>
  <si>
    <t>As of June 30, 2009</t>
  </si>
  <si>
    <t>As of May 31, 2009</t>
  </si>
  <si>
    <t>As of April 30, 2009</t>
  </si>
  <si>
    <t xml:space="preserve">Please note that CMP has reposted the </t>
  </si>
  <si>
    <t>Load Enrollment Statistics for the period</t>
  </si>
  <si>
    <t>October 2004-January 2006.  We discovered</t>
  </si>
  <si>
    <t>an error in the spreadsheet which identified</t>
  </si>
  <si>
    <t xml:space="preserve">the customer counts.  Changes to the </t>
  </si>
  <si>
    <t>kWh are a result of adjustments to individual</t>
  </si>
  <si>
    <t xml:space="preserve">accounts that have taken place since the </t>
  </si>
  <si>
    <t>As of March 31, 2009</t>
  </si>
  <si>
    <t>original data was posted.</t>
  </si>
  <si>
    <t>As of February 28, 2009</t>
  </si>
  <si>
    <t>As of January 31, 2009</t>
  </si>
  <si>
    <t>As of December 31, 2008</t>
  </si>
  <si>
    <t>As of November 30, 2008</t>
  </si>
  <si>
    <t>As of October 31, 2008</t>
  </si>
  <si>
    <t>As of September 30, 2008</t>
  </si>
  <si>
    <t>As of August 31, 2008</t>
  </si>
  <si>
    <t>As of July 31, 2008</t>
  </si>
  <si>
    <t>As of June 30, 2008</t>
  </si>
  <si>
    <t>As of May 31, 2008</t>
  </si>
  <si>
    <t>As of April 30, 2008</t>
  </si>
  <si>
    <t>As of March 31, 2008</t>
  </si>
  <si>
    <t>As of February 29, 2008</t>
  </si>
  <si>
    <t>As of January 31, 2008</t>
  </si>
  <si>
    <t>As of December 31, 2007</t>
  </si>
  <si>
    <t>As of November 30, 2007</t>
  </si>
  <si>
    <t>As of October 31, 2007</t>
  </si>
  <si>
    <t>As of September 30, 2007</t>
  </si>
  <si>
    <t>As of August 31, 2007</t>
  </si>
  <si>
    <t>As of July 31, 2007</t>
  </si>
  <si>
    <t>As of June 30, 2007</t>
  </si>
  <si>
    <t>As of May 31, 2007</t>
  </si>
  <si>
    <t>As of April 30, 2007</t>
  </si>
  <si>
    <t>As of March 31, 2007</t>
  </si>
  <si>
    <t>As of February 28, 2007</t>
  </si>
  <si>
    <t>As of January 31, 2007</t>
  </si>
  <si>
    <t xml:space="preserve"> Central Maine Power Company</t>
  </si>
  <si>
    <t>As of December 31, 2006</t>
  </si>
  <si>
    <t>As of November 30, 2006</t>
  </si>
  <si>
    <t>As of October 31, 2006</t>
  </si>
  <si>
    <t>As of September 30, 2006</t>
  </si>
  <si>
    <t>As of August 31, 2006</t>
  </si>
  <si>
    <t>As of July 31, 2006</t>
  </si>
  <si>
    <t>As of June 30, 2006</t>
  </si>
  <si>
    <t>As of May 31, 2006</t>
  </si>
  <si>
    <t>As of April 30, 2006</t>
  </si>
  <si>
    <t>As of March 31, 2006</t>
  </si>
  <si>
    <t>As of February 28, 2006</t>
  </si>
  <si>
    <t>As of January 31, 2006</t>
  </si>
  <si>
    <t>As of December 31, 2005</t>
  </si>
  <si>
    <t>As of November 30, 2005</t>
  </si>
  <si>
    <t>As of October 31, 2005</t>
  </si>
  <si>
    <t>As of September 30, 2005</t>
  </si>
  <si>
    <t>As of August 31, 2005</t>
  </si>
  <si>
    <t>As of July 31, 2005</t>
  </si>
  <si>
    <t>As of June 30, 2005</t>
  </si>
  <si>
    <t>As of May 31, 2005</t>
  </si>
  <si>
    <t>As of April 30, 2005</t>
  </si>
  <si>
    <t>As of March 31, 2005</t>
  </si>
  <si>
    <t>As of February 28, 2005</t>
  </si>
  <si>
    <t>As of January 31, 2005</t>
  </si>
  <si>
    <t>As of December 31, 2004</t>
  </si>
  <si>
    <t>As of November 30, 2004</t>
  </si>
  <si>
    <t>As of October 31, 2004</t>
  </si>
  <si>
    <t>As of September 30, 2004</t>
  </si>
  <si>
    <t>As of August 30, 2004</t>
  </si>
  <si>
    <t>As of July 31, 2004</t>
  </si>
  <si>
    <t>As of June 30, 2004</t>
  </si>
  <si>
    <t>As of May 31, 2004</t>
  </si>
  <si>
    <t>As of April 30, 2004</t>
  </si>
  <si>
    <t>As of March 31, 2004</t>
  </si>
  <si>
    <t>As of February 29, 2004</t>
  </si>
  <si>
    <t>As of January 31, 2004</t>
  </si>
  <si>
    <t>As of December 31, 2003</t>
  </si>
  <si>
    <t>As of November 30, 2003</t>
  </si>
  <si>
    <t>As of September 30, 2003</t>
  </si>
  <si>
    <t>As of August 31, 2003</t>
  </si>
  <si>
    <t>As of July 31, 2003</t>
  </si>
  <si>
    <t>As of June 30, 2003</t>
  </si>
  <si>
    <t>As of May 31, 2003</t>
  </si>
  <si>
    <t>As of April 30, 2003</t>
  </si>
  <si>
    <t>As of March 31, 2003</t>
  </si>
  <si>
    <t>As of February 28, 2003</t>
  </si>
  <si>
    <t>As of January 31, 2003</t>
  </si>
  <si>
    <t>As of December 31, 2002</t>
  </si>
  <si>
    <t>As of November 30, 2002</t>
  </si>
  <si>
    <t>As of October 31, 2002</t>
  </si>
  <si>
    <t>As of September 30, 2002</t>
  </si>
  <si>
    <t>As of August 31, 2002</t>
  </si>
  <si>
    <t>As of July 31, 2002</t>
  </si>
  <si>
    <t>As of June 30, 2002</t>
  </si>
  <si>
    <t>As of May 31, 2002</t>
  </si>
  <si>
    <t>As of April 30, 2002</t>
  </si>
  <si>
    <t>As of March 31, 2002</t>
  </si>
  <si>
    <t>As of February 28, 2002</t>
  </si>
  <si>
    <t>As of January 31, 2002</t>
  </si>
  <si>
    <t>As of December 31, 2001</t>
  </si>
  <si>
    <t>As of November 30, 2001</t>
  </si>
  <si>
    <t>As of October 31, 2001</t>
  </si>
  <si>
    <t>As of September 30, 2001</t>
  </si>
  <si>
    <t>As of August 31, 2001</t>
  </si>
  <si>
    <t>As of July 31, 2001</t>
  </si>
  <si>
    <t>As of June 30, 2001</t>
  </si>
  <si>
    <t>As of May 31, 2001</t>
  </si>
  <si>
    <t>As of April 30, 2001</t>
  </si>
  <si>
    <t>As of March 31, 2001</t>
  </si>
  <si>
    <t>As of February 28, 2001</t>
  </si>
  <si>
    <t>As of January 31, 2001</t>
  </si>
  <si>
    <t>As of December 31, 2000</t>
  </si>
  <si>
    <t>As of November 28, 2000</t>
  </si>
  <si>
    <t>As of October 31, 2000</t>
  </si>
  <si>
    <t>As of September 30, 2000</t>
  </si>
  <si>
    <t>As of August 31, 2000</t>
  </si>
  <si>
    <t>As of July 31, 2000</t>
  </si>
  <si>
    <t>As of June 30, 2000</t>
  </si>
  <si>
    <t>As of May 31,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</si>
</sst>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\ &quot;KWH&quot;"/>
    <numFmt numFmtId="167" formatCode="###,000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1F497D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" fillId="0" borderId="1" applyNumberFormat="0" applyProtection="0">
      <alignment horizontal="right" vertical="center"/>
    </xf>
    <xf numFmtId="167" fontId="6" fillId="0" borderId="52" applyNumberFormat="0" applyProtection="0">
      <alignment horizontal="right" vertical="center"/>
    </xf>
  </cellStyleXfs>
  <cellXfs count="179">
    <xf numFmtId="0" fontId="0" fillId="0" borderId="0" xfId="0"/>
    <xf numFmtId="0" fontId="4" fillId="0" borderId="0" xfId="0" applyFont="1"/>
    <xf numFmtId="0" fontId="4" fillId="8" borderId="2" xfId="0" applyFont="1" applyFill="1" applyBorder="1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5" fontId="5" fillId="0" borderId="2" xfId="1" applyNumberFormat="1" applyFont="1" applyBorder="1" applyAlignment="1"/>
    <xf numFmtId="165" fontId="5" fillId="0" borderId="2" xfId="1" applyNumberFormat="1" applyFont="1" applyFill="1" applyBorder="1" applyAlignment="1"/>
    <xf numFmtId="10" fontId="5" fillId="0" borderId="2" xfId="2" applyNumberFormat="1" applyFont="1" applyFill="1" applyBorder="1" applyAlignment="1"/>
    <xf numFmtId="165" fontId="5" fillId="0" borderId="0" xfId="1" applyNumberFormat="1" applyFont="1"/>
    <xf numFmtId="10" fontId="5" fillId="0" borderId="2" xfId="2" applyNumberFormat="1" applyFont="1" applyFill="1" applyBorder="1"/>
    <xf numFmtId="3" fontId="5" fillId="0" borderId="2" xfId="0" applyNumberFormat="1" applyFont="1" applyBorder="1"/>
    <xf numFmtId="166" fontId="5" fillId="0" borderId="1" xfId="3" applyNumberFormat="1" applyFont="1">
      <alignment horizontal="right" vertical="center"/>
    </xf>
    <xf numFmtId="166" fontId="5" fillId="0" borderId="3" xfId="3" applyNumberFormat="1" applyFont="1" applyBorder="1">
      <alignment horizontal="right" vertical="center"/>
    </xf>
    <xf numFmtId="165" fontId="5" fillId="0" borderId="0" xfId="0" applyNumberFormat="1" applyFont="1"/>
    <xf numFmtId="37" fontId="4" fillId="0" borderId="2" xfId="0" applyNumberFormat="1" applyFont="1" applyBorder="1"/>
    <xf numFmtId="165" fontId="4" fillId="0" borderId="2" xfId="1" applyNumberFormat="1" applyFont="1" applyBorder="1" applyAlignment="1"/>
    <xf numFmtId="10" fontId="4" fillId="0" borderId="2" xfId="2" applyNumberFormat="1" applyFont="1" applyBorder="1" applyAlignment="1"/>
    <xf numFmtId="3" fontId="4" fillId="0" borderId="2" xfId="0" applyNumberFormat="1" applyFont="1" applyBorder="1"/>
    <xf numFmtId="3" fontId="5" fillId="0" borderId="0" xfId="0" applyNumberFormat="1" applyFont="1"/>
    <xf numFmtId="37" fontId="5" fillId="0" borderId="2" xfId="1" applyNumberFormat="1" applyFont="1" applyFill="1" applyBorder="1" applyAlignment="1"/>
    <xf numFmtId="10" fontId="4" fillId="0" borderId="2" xfId="2" applyNumberFormat="1" applyFont="1" applyBorder="1"/>
    <xf numFmtId="0" fontId="5" fillId="2" borderId="0" xfId="0" applyFont="1" applyFill="1"/>
    <xf numFmtId="3" fontId="4" fillId="0" borderId="0" xfId="0" applyNumberFormat="1" applyFont="1"/>
    <xf numFmtId="0" fontId="4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5" fontId="4" fillId="4" borderId="2" xfId="1" applyNumberFormat="1" applyFont="1" applyFill="1" applyBorder="1" applyAlignment="1"/>
    <xf numFmtId="0" fontId="4" fillId="0" borderId="2" xfId="0" applyFont="1" applyBorder="1"/>
    <xf numFmtId="0" fontId="4" fillId="0" borderId="0" xfId="0" applyFont="1" applyAlignment="1">
      <alignment horizontal="right"/>
    </xf>
    <xf numFmtId="37" fontId="4" fillId="0" borderId="2" xfId="1" applyNumberFormat="1" applyFont="1" applyBorder="1" applyAlignment="1"/>
    <xf numFmtId="0" fontId="4" fillId="5" borderId="4" xfId="0" applyFont="1" applyFill="1" applyBorder="1"/>
    <xf numFmtId="0" fontId="4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7" fontId="5" fillId="0" borderId="14" xfId="1" applyNumberFormat="1" applyFont="1" applyBorder="1" applyAlignment="1"/>
    <xf numFmtId="10" fontId="5" fillId="0" borderId="0" xfId="2" applyNumberFormat="1" applyFont="1" applyBorder="1" applyAlignment="1"/>
    <xf numFmtId="3" fontId="5" fillId="0" borderId="15" xfId="0" applyNumberFormat="1" applyFont="1" applyBorder="1"/>
    <xf numFmtId="10" fontId="5" fillId="0" borderId="16" xfId="2" applyNumberFormat="1" applyFont="1" applyBorder="1"/>
    <xf numFmtId="10" fontId="5" fillId="0" borderId="0" xfId="2" applyNumberFormat="1" applyFont="1" applyBorder="1"/>
    <xf numFmtId="10" fontId="5" fillId="0" borderId="17" xfId="2" applyNumberFormat="1" applyFont="1" applyBorder="1"/>
    <xf numFmtId="10" fontId="5" fillId="0" borderId="18" xfId="2" applyNumberFormat="1" applyFont="1" applyBorder="1"/>
    <xf numFmtId="3" fontId="5" fillId="0" borderId="5" xfId="0" applyNumberFormat="1" applyFont="1" applyBorder="1"/>
    <xf numFmtId="10" fontId="5" fillId="0" borderId="6" xfId="2" applyNumberFormat="1" applyFont="1" applyBorder="1"/>
    <xf numFmtId="37" fontId="4" fillId="0" borderId="14" xfId="1" applyNumberFormat="1" applyFont="1" applyBorder="1" applyAlignment="1"/>
    <xf numFmtId="3" fontId="4" fillId="0" borderId="19" xfId="0" applyNumberFormat="1" applyFont="1" applyBorder="1"/>
    <xf numFmtId="10" fontId="4" fillId="0" borderId="20" xfId="2" applyNumberFormat="1" applyFont="1" applyBorder="1" applyAlignment="1"/>
    <xf numFmtId="3" fontId="4" fillId="0" borderId="21" xfId="0" applyNumberFormat="1" applyFont="1" applyBorder="1"/>
    <xf numFmtId="10" fontId="4" fillId="0" borderId="22" xfId="2" applyNumberFormat="1" applyFont="1" applyBorder="1"/>
    <xf numFmtId="3" fontId="4" fillId="0" borderId="22" xfId="0" applyNumberFormat="1" applyFont="1" applyBorder="1"/>
    <xf numFmtId="10" fontId="4" fillId="0" borderId="23" xfId="2" applyNumberFormat="1" applyFont="1" applyBorder="1"/>
    <xf numFmtId="10" fontId="4" fillId="0" borderId="24" xfId="2" applyNumberFormat="1" applyFont="1" applyBorder="1"/>
    <xf numFmtId="0" fontId="4" fillId="5" borderId="25" xfId="0" applyFont="1" applyFill="1" applyBorder="1"/>
    <xf numFmtId="0" fontId="4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3" fontId="5" fillId="0" borderId="14" xfId="0" applyNumberFormat="1" applyFont="1" applyBorder="1"/>
    <xf numFmtId="3" fontId="4" fillId="0" borderId="29" xfId="0" applyNumberFormat="1" applyFont="1" applyBorder="1"/>
    <xf numFmtId="0" fontId="4" fillId="5" borderId="30" xfId="0" applyFont="1" applyFill="1" applyBorder="1"/>
    <xf numFmtId="0" fontId="4" fillId="5" borderId="31" xfId="0" applyFont="1" applyFill="1" applyBorder="1"/>
    <xf numFmtId="0" fontId="5" fillId="5" borderId="32" xfId="0" applyFont="1" applyFill="1" applyBorder="1"/>
    <xf numFmtId="0" fontId="5" fillId="5" borderId="3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4" fillId="6" borderId="30" xfId="0" applyFont="1" applyFill="1" applyBorder="1"/>
    <xf numFmtId="0" fontId="4" fillId="6" borderId="31" xfId="0" applyFont="1" applyFill="1" applyBorder="1"/>
    <xf numFmtId="0" fontId="5" fillId="6" borderId="32" xfId="0" applyFont="1" applyFill="1" applyBorder="1"/>
    <xf numFmtId="0" fontId="5" fillId="6" borderId="33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4" fillId="2" borderId="30" xfId="0" applyFont="1" applyFill="1" applyBorder="1"/>
    <xf numFmtId="0" fontId="4" fillId="2" borderId="31" xfId="0" applyFont="1" applyFill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3" fontId="5" fillId="0" borderId="34" xfId="0" applyNumberFormat="1" applyFont="1" applyBorder="1"/>
    <xf numFmtId="10" fontId="5" fillId="0" borderId="35" xfId="2" applyNumberFormat="1" applyFont="1" applyBorder="1"/>
    <xf numFmtId="0" fontId="5" fillId="0" borderId="36" xfId="0" applyFont="1" applyBorder="1"/>
    <xf numFmtId="10" fontId="5" fillId="0" borderId="23" xfId="2" applyNumberFormat="1" applyFont="1" applyBorder="1" applyAlignment="1"/>
    <xf numFmtId="10" fontId="4" fillId="0" borderId="23" xfId="2" applyNumberFormat="1" applyFont="1" applyBorder="1" applyAlignment="1"/>
    <xf numFmtId="0" fontId="4" fillId="2" borderId="37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4" fillId="2" borderId="14" xfId="0" applyFont="1" applyFill="1" applyBorder="1"/>
    <xf numFmtId="0" fontId="5" fillId="2" borderId="17" xfId="0" applyFont="1" applyFill="1" applyBorder="1"/>
    <xf numFmtId="0" fontId="4" fillId="2" borderId="38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/>
    <xf numFmtId="10" fontId="5" fillId="0" borderId="43" xfId="2" applyNumberFormat="1" applyFont="1" applyBorder="1"/>
    <xf numFmtId="10" fontId="5" fillId="0" borderId="44" xfId="2" applyNumberFormat="1" applyFont="1" applyBorder="1"/>
    <xf numFmtId="10" fontId="5" fillId="0" borderId="45" xfId="2" applyNumberFormat="1" applyFont="1" applyBorder="1"/>
    <xf numFmtId="10" fontId="5" fillId="0" borderId="46" xfId="2" applyNumberFormat="1" applyFont="1" applyBorder="1"/>
    <xf numFmtId="3" fontId="5" fillId="0" borderId="29" xfId="0" applyNumberFormat="1" applyFont="1" applyBorder="1"/>
    <xf numFmtId="3" fontId="4" fillId="0" borderId="36" xfId="0" applyNumberFormat="1" applyFont="1" applyBorder="1"/>
    <xf numFmtId="10" fontId="4" fillId="0" borderId="45" xfId="2" applyNumberFormat="1" applyFont="1" applyBorder="1"/>
    <xf numFmtId="3" fontId="4" fillId="0" borderId="23" xfId="0" applyNumberFormat="1" applyFont="1" applyBorder="1"/>
    <xf numFmtId="10" fontId="4" fillId="0" borderId="0" xfId="2" applyNumberFormat="1" applyFont="1" applyBorder="1" applyAlignment="1"/>
    <xf numFmtId="10" fontId="4" fillId="0" borderId="0" xfId="2" applyNumberFormat="1" applyFont="1" applyBorder="1"/>
    <xf numFmtId="10" fontId="4" fillId="0" borderId="17" xfId="2" applyNumberFormat="1" applyFont="1" applyBorder="1"/>
    <xf numFmtId="3" fontId="5" fillId="0" borderId="4" xfId="0" applyNumberFormat="1" applyFont="1" applyBorder="1"/>
    <xf numFmtId="10" fontId="5" fillId="0" borderId="43" xfId="0" applyNumberFormat="1" applyFont="1" applyBorder="1"/>
    <xf numFmtId="9" fontId="5" fillId="0" borderId="0" xfId="2" applyFont="1" applyBorder="1" applyAlignment="1">
      <alignment horizontal="center"/>
    </xf>
    <xf numFmtId="9" fontId="5" fillId="0" borderId="44" xfId="2" applyFont="1" applyBorder="1" applyAlignment="1">
      <alignment horizontal="center"/>
    </xf>
    <xf numFmtId="3" fontId="5" fillId="0" borderId="47" xfId="0" applyNumberFormat="1" applyFont="1" applyBorder="1"/>
    <xf numFmtId="3" fontId="4" fillId="0" borderId="5" xfId="0" applyNumberFormat="1" applyFont="1" applyBorder="1"/>
    <xf numFmtId="10" fontId="4" fillId="0" borderId="6" xfId="2" applyNumberFormat="1" applyFont="1" applyBorder="1" applyAlignment="1"/>
    <xf numFmtId="10" fontId="4" fillId="0" borderId="41" xfId="2" applyNumberFormat="1" applyFont="1" applyBorder="1"/>
    <xf numFmtId="3" fontId="4" fillId="0" borderId="6" xfId="0" applyNumberFormat="1" applyFont="1" applyBorder="1"/>
    <xf numFmtId="10" fontId="4" fillId="0" borderId="6" xfId="2" applyNumberFormat="1" applyFont="1" applyBorder="1"/>
    <xf numFmtId="10" fontId="4" fillId="0" borderId="48" xfId="2" applyNumberFormat="1" applyFont="1" applyBorder="1"/>
    <xf numFmtId="9" fontId="5" fillId="0" borderId="0" xfId="2" applyFont="1" applyBorder="1"/>
    <xf numFmtId="9" fontId="5" fillId="0" borderId="44" xfId="2" applyFont="1" applyBorder="1"/>
    <xf numFmtId="3" fontId="5" fillId="0" borderId="49" xfId="0" applyNumberFormat="1" applyFont="1" applyBorder="1"/>
    <xf numFmtId="10" fontId="5" fillId="0" borderId="42" xfId="2" applyNumberFormat="1" applyFont="1" applyBorder="1"/>
    <xf numFmtId="3" fontId="4" fillId="0" borderId="4" xfId="0" applyNumberFormat="1" applyFont="1" applyBorder="1"/>
    <xf numFmtId="10" fontId="4" fillId="0" borderId="42" xfId="2" applyNumberFormat="1" applyFont="1" applyBorder="1"/>
    <xf numFmtId="0" fontId="5" fillId="0" borderId="11" xfId="0" applyFont="1" applyBorder="1"/>
    <xf numFmtId="0" fontId="5" fillId="0" borderId="39" xfId="0" applyFont="1" applyBorder="1"/>
    <xf numFmtId="0" fontId="5" fillId="0" borderId="12" xfId="0" applyFont="1" applyBorder="1"/>
    <xf numFmtId="10" fontId="5" fillId="0" borderId="16" xfId="2" applyNumberFormat="1" applyFont="1" applyBorder="1" applyAlignment="1"/>
    <xf numFmtId="9" fontId="5" fillId="0" borderId="16" xfId="2" applyFont="1" applyBorder="1"/>
    <xf numFmtId="9" fontId="5" fillId="0" borderId="17" xfId="2" applyFont="1" applyBorder="1"/>
    <xf numFmtId="10" fontId="5" fillId="0" borderId="13" xfId="2" applyNumberFormat="1" applyFont="1" applyBorder="1" applyAlignment="1"/>
    <xf numFmtId="10" fontId="5" fillId="0" borderId="41" xfId="2" applyNumberFormat="1" applyFont="1" applyBorder="1"/>
    <xf numFmtId="10" fontId="5" fillId="0" borderId="13" xfId="2" applyNumberFormat="1" applyFont="1" applyBorder="1"/>
    <xf numFmtId="10" fontId="5" fillId="0" borderId="7" xfId="2" applyNumberFormat="1" applyFont="1" applyBorder="1"/>
    <xf numFmtId="10" fontId="4" fillId="0" borderId="13" xfId="2" applyNumberFormat="1" applyFont="1" applyBorder="1" applyAlignment="1"/>
    <xf numFmtId="10" fontId="4" fillId="0" borderId="7" xfId="2" applyNumberFormat="1" applyFont="1" applyBorder="1"/>
    <xf numFmtId="0" fontId="5" fillId="0" borderId="40" xfId="0" applyFont="1" applyBorder="1"/>
    <xf numFmtId="10" fontId="5" fillId="0" borderId="6" xfId="2" applyNumberFormat="1" applyFont="1" applyBorder="1" applyAlignment="1"/>
    <xf numFmtId="0" fontId="4" fillId="2" borderId="31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Comma" xfId="1" builtinId="3"/>
    <cellStyle name="Normal" xfId="0" builtinId="0"/>
    <cellStyle name="Percent" xfId="2" builtinId="5"/>
    <cellStyle name="SAPBEXstdData" xfId="3" xr:uid="{22948A93-1D38-4AF8-9DC2-9E06F652FCA3}"/>
    <cellStyle name="SAPDataCell" xfId="4" xr:uid="{EA5A4E9F-E5D0-4C65-8CEE-7094088D9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'2000-Present'!$A$1116:$I$1116</c:f>
              <c:strCache>
                <c:ptCount val="9"/>
                <c:pt idx="0">
                  <c:v>As of August 30, 2016</c:v>
                </c:pt>
                <c:pt idx="1">
                  <c:v>Count</c:v>
                </c:pt>
                <c:pt idx="2">
                  <c:v>Count</c:v>
                </c:pt>
                <c:pt idx="3">
                  <c:v>%</c:v>
                </c:pt>
                <c:pt idx="4">
                  <c:v>Count</c:v>
                </c:pt>
                <c:pt idx="5">
                  <c:v>%</c:v>
                </c:pt>
                <c:pt idx="6">
                  <c:v>Count</c:v>
                </c:pt>
                <c:pt idx="7">
                  <c:v>%</c:v>
                </c:pt>
                <c:pt idx="8">
                  <c:v>Count</c:v>
                </c:pt>
              </c:strCache>
            </c:strRef>
          </c:tx>
          <c:invertIfNegative val="0"/>
          <c:cat>
            <c:numRef>
              <c:f>'2000-Present'!$J$1107:$J$1115</c:f>
              <c:numCache>
                <c:formatCode>0.00%</c:formatCode>
                <c:ptCount val="9"/>
                <c:pt idx="0">
                  <c:v>0.80564032417021481</c:v>
                </c:pt>
                <c:pt idx="1">
                  <c:v>0.70632061087187159</c:v>
                </c:pt>
                <c:pt idx="2">
                  <c:v>0.34897286625882995</c:v>
                </c:pt>
                <c:pt idx="3">
                  <c:v>2.2603024850403806E-2</c:v>
                </c:pt>
                <c:pt idx="4">
                  <c:v>0.92940093074827679</c:v>
                </c:pt>
                <c:pt idx="5">
                  <c:v>0.42794536428228597</c:v>
                </c:pt>
              </c:numCache>
            </c:numRef>
          </c:cat>
          <c:val>
            <c:numRef>
              <c:f>'2000-Present'!$J$1116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9-4C44-B021-B53F90C49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078095"/>
        <c:axId val="1"/>
      </c:barChart>
      <c:catAx>
        <c:axId val="1107078095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7078095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5384615384615385"/>
          <c:y val="0.49772382397572079"/>
          <c:w val="0.99120879120879124"/>
          <c:h val="0.55842185128983313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DF0DE8-F2CE-473C-902A-821E9EA0F7E3}">
  <sheetPr/>
  <sheetViews>
    <sheetView workbookViewId="0"/>
  </sheetViews>
  <pageMargins left="0.7" right="0.7" top="0.75" bottom="0.75" header="0.3" footer="0.3"/>
  <pageSetup orientation="landscape" r:id="rId1"/>
  <headerFooter>
    <oddFooter>&amp;C&amp;1#&amp;"Calibri"&amp;12&amp;K008000Internal Use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87F26D2B-BE91-6A1A-FEA2-BD49E39128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9BF7-8B93-4A20-B5C2-87E69E5A7C79}">
  <sheetPr>
    <pageSetUpPr fitToPage="1"/>
  </sheetPr>
  <dimension ref="A1:P3236"/>
  <sheetViews>
    <sheetView tabSelected="1" zoomScaleNormal="100" workbookViewId="0">
      <selection activeCell="A13" sqref="A13:IV13"/>
    </sheetView>
  </sheetViews>
  <sheetFormatPr defaultColWidth="8.85546875" defaultRowHeight="15"/>
  <cols>
    <col min="1" max="1" width="32.7109375" style="3" customWidth="1"/>
    <col min="2" max="2" width="19.28515625" style="56" customWidth="1"/>
    <col min="3" max="3" width="15.5703125" style="3" bestFit="1" customWidth="1"/>
    <col min="4" max="4" width="10.5703125" style="3" bestFit="1" customWidth="1"/>
    <col min="5" max="5" width="22.140625" style="3" bestFit="1" customWidth="1"/>
    <col min="6" max="6" width="10.5703125" style="3" bestFit="1" customWidth="1"/>
    <col min="7" max="7" width="14.140625" style="3" bestFit="1" customWidth="1"/>
    <col min="8" max="8" width="13.28515625" style="3" bestFit="1" customWidth="1"/>
    <col min="9" max="9" width="20.140625" style="3" bestFit="1" customWidth="1"/>
    <col min="10" max="10" width="10.28515625" style="59" bestFit="1" customWidth="1"/>
    <col min="11" max="11" width="8.85546875" style="3" hidden="1" customWidth="1"/>
    <col min="12" max="12" width="11.140625" style="3" bestFit="1" customWidth="1"/>
    <col min="13" max="13" width="38.7109375" style="3" bestFit="1" customWidth="1"/>
    <col min="14" max="15" width="8.85546875" style="3"/>
    <col min="16" max="16" width="10.140625" style="3" customWidth="1"/>
    <col min="17" max="16384" width="8.85546875" style="3"/>
  </cols>
  <sheetData>
    <row r="1" spans="1:13" ht="15.75">
      <c r="A1" s="1" t="s">
        <v>0</v>
      </c>
      <c r="B1" s="3"/>
      <c r="J1" s="3"/>
    </row>
    <row r="2" spans="1:13" ht="15.75">
      <c r="A2" s="1" t="s">
        <v>1</v>
      </c>
      <c r="B2" s="2">
        <v>2</v>
      </c>
      <c r="C2" s="2" t="s">
        <v>2</v>
      </c>
      <c r="D2" s="2"/>
      <c r="E2" s="2"/>
      <c r="F2" s="2"/>
      <c r="G2" s="2" t="s">
        <v>3</v>
      </c>
      <c r="H2" s="2"/>
      <c r="I2" s="2"/>
      <c r="J2" s="2"/>
    </row>
    <row r="3" spans="1:13">
      <c r="B3" s="4" t="s">
        <v>4</v>
      </c>
      <c r="C3" s="4" t="s">
        <v>5</v>
      </c>
      <c r="D3" s="4"/>
      <c r="E3" s="4" t="s">
        <v>6</v>
      </c>
      <c r="F3" s="5"/>
      <c r="G3" s="4" t="s">
        <v>7</v>
      </c>
      <c r="H3" s="5"/>
      <c r="I3" s="5" t="s">
        <v>6</v>
      </c>
      <c r="J3" s="5"/>
    </row>
    <row r="4" spans="1:13">
      <c r="B4" s="4" t="s">
        <v>8</v>
      </c>
      <c r="C4" s="4" t="s">
        <v>8</v>
      </c>
      <c r="D4" s="4" t="s">
        <v>9</v>
      </c>
      <c r="E4" s="4" t="s">
        <v>8</v>
      </c>
      <c r="F4" s="5" t="s">
        <v>9</v>
      </c>
      <c r="G4" s="5" t="s">
        <v>8</v>
      </c>
      <c r="H4" s="5" t="s">
        <v>9</v>
      </c>
      <c r="I4" s="5" t="s">
        <v>8</v>
      </c>
      <c r="J4" s="5" t="s">
        <v>9</v>
      </c>
    </row>
    <row r="5" spans="1:13">
      <c r="B5" s="4"/>
      <c r="C5" s="4"/>
      <c r="D5" s="4"/>
      <c r="E5" s="4"/>
      <c r="F5" s="4"/>
      <c r="G5" s="4"/>
      <c r="H5" s="4"/>
      <c r="I5" s="4"/>
      <c r="J5" s="4"/>
    </row>
    <row r="6" spans="1:13">
      <c r="A6" s="3" t="s">
        <v>10</v>
      </c>
      <c r="B6" s="6">
        <f>C6+G6</f>
        <v>589877</v>
      </c>
      <c r="C6" s="7">
        <v>52261</v>
      </c>
      <c r="D6" s="8">
        <f t="shared" ref="D6:D11" si="0">C6/B6</f>
        <v>8.8596436206192133E-2</v>
      </c>
      <c r="E6" s="12">
        <v>39528223</v>
      </c>
      <c r="F6" s="10">
        <f>E6/(E6+I6)</f>
        <v>8.7556262633017357E-2</v>
      </c>
      <c r="G6" s="11">
        <v>537616</v>
      </c>
      <c r="H6" s="10">
        <f t="shared" ref="H6:H11" si="1">G6/B6</f>
        <v>0.91140356379380782</v>
      </c>
      <c r="I6" s="12">
        <v>411932607</v>
      </c>
      <c r="J6" s="10">
        <f>I6/(E6+I6)</f>
        <v>0.9124437373669827</v>
      </c>
    </row>
    <row r="7" spans="1:13">
      <c r="A7" s="3" t="s">
        <v>11</v>
      </c>
      <c r="B7" s="6">
        <f>C7+G7</f>
        <v>67522</v>
      </c>
      <c r="C7" s="7">
        <v>19573</v>
      </c>
      <c r="D7" s="8">
        <f t="shared" si="0"/>
        <v>0.2898758923017683</v>
      </c>
      <c r="E7" s="12">
        <v>23007879</v>
      </c>
      <c r="F7" s="10">
        <f>E7/(E7+I7)</f>
        <v>0.31552284280555037</v>
      </c>
      <c r="G7" s="11">
        <v>47949</v>
      </c>
      <c r="H7" s="10">
        <f t="shared" si="1"/>
        <v>0.71012410769823164</v>
      </c>
      <c r="I7" s="12">
        <v>49911973</v>
      </c>
      <c r="J7" s="10">
        <f>I7/(E7+I7)</f>
        <v>0.68447715719444957</v>
      </c>
    </row>
    <row r="8" spans="1:13">
      <c r="A8" s="3" t="s">
        <v>12</v>
      </c>
      <c r="B8" s="6">
        <f>C8+G8</f>
        <v>9928</v>
      </c>
      <c r="C8" s="7">
        <v>5611</v>
      </c>
      <c r="D8" s="8">
        <f t="shared" si="0"/>
        <v>0.5651692183722804</v>
      </c>
      <c r="E8" s="12">
        <v>126419893</v>
      </c>
      <c r="F8" s="10">
        <f>E8/(E8+I8)</f>
        <v>0.71075466039447921</v>
      </c>
      <c r="G8" s="11">
        <v>4317</v>
      </c>
      <c r="H8" s="10">
        <f t="shared" si="1"/>
        <v>0.4348307816277196</v>
      </c>
      <c r="I8" s="12">
        <v>51447239</v>
      </c>
      <c r="J8" s="10">
        <f>I8/(E8+I8)</f>
        <v>0.28924533960552085</v>
      </c>
    </row>
    <row r="9" spans="1:13">
      <c r="A9" s="3" t="s">
        <v>13</v>
      </c>
      <c r="B9" s="6">
        <f>C9+G9</f>
        <v>382</v>
      </c>
      <c r="C9" s="7">
        <v>329</v>
      </c>
      <c r="D9" s="8">
        <f t="shared" si="0"/>
        <v>0.86125654450261779</v>
      </c>
      <c r="E9" s="12">
        <v>232125235</v>
      </c>
      <c r="F9" s="10">
        <f>E9/(E9+I9)</f>
        <v>0.97196976855288786</v>
      </c>
      <c r="G9" s="11">
        <v>53</v>
      </c>
      <c r="H9" s="10">
        <f t="shared" si="1"/>
        <v>0.13874345549738221</v>
      </c>
      <c r="I9" s="12">
        <v>6694163</v>
      </c>
      <c r="J9" s="10">
        <f>I9/(E9+I9)</f>
        <v>2.803023144711218E-2</v>
      </c>
    </row>
    <row r="10" spans="1:13">
      <c r="A10" s="3" t="s">
        <v>14</v>
      </c>
      <c r="B10" s="6">
        <f>C10+G10</f>
        <v>5690</v>
      </c>
      <c r="C10" s="7">
        <v>1647</v>
      </c>
      <c r="D10" s="8">
        <f t="shared" si="0"/>
        <v>0.28945518453427066</v>
      </c>
      <c r="E10" s="12">
        <v>1066670</v>
      </c>
      <c r="F10" s="10">
        <f>E10/(E10+I9)</f>
        <v>0.13744272038839131</v>
      </c>
      <c r="G10" s="11">
        <v>4043</v>
      </c>
      <c r="H10" s="10">
        <f t="shared" si="1"/>
        <v>0.71054481546572934</v>
      </c>
      <c r="I10" s="13">
        <v>750368</v>
      </c>
      <c r="J10" s="10">
        <f>I9/(E10+I9)</f>
        <v>0.86255727961160866</v>
      </c>
      <c r="M10" s="14"/>
    </row>
    <row r="11" spans="1:13" ht="15.75">
      <c r="B11" s="15">
        <f>SUM(B6:B10)</f>
        <v>673399</v>
      </c>
      <c r="C11" s="16">
        <f>SUM(C6:C10)</f>
        <v>79421</v>
      </c>
      <c r="D11" s="17">
        <f t="shared" si="0"/>
        <v>0.11794047808208803</v>
      </c>
      <c r="E11" s="18">
        <f>SUM(E6:E10)</f>
        <v>422147900</v>
      </c>
      <c r="F11" s="10">
        <f>E11/(E11+I11)</f>
        <v>0.44771974926932973</v>
      </c>
      <c r="G11" s="18">
        <f>SUM(G6:G10)</f>
        <v>593978</v>
      </c>
      <c r="H11" s="17">
        <f t="shared" si="1"/>
        <v>0.88205952191791193</v>
      </c>
      <c r="I11" s="18">
        <f>I10+I9+I8+I7+I6</f>
        <v>520736350</v>
      </c>
      <c r="J11" s="10">
        <f>I11/(E11+I11)</f>
        <v>0.55228025073067033</v>
      </c>
    </row>
    <row r="12" spans="1:13" ht="15.75">
      <c r="A12" s="1" t="s">
        <v>0</v>
      </c>
      <c r="B12" s="3"/>
      <c r="J12" s="3"/>
    </row>
    <row r="13" spans="1:13" ht="15.75">
      <c r="A13" s="1" t="s">
        <v>15</v>
      </c>
      <c r="B13" s="2">
        <v>2</v>
      </c>
      <c r="C13" s="2" t="s">
        <v>2</v>
      </c>
      <c r="D13" s="2"/>
      <c r="E13" s="2"/>
      <c r="F13" s="2"/>
      <c r="G13" s="2" t="s">
        <v>3</v>
      </c>
      <c r="H13" s="2"/>
      <c r="I13" s="2"/>
      <c r="J13" s="2"/>
    </row>
    <row r="14" spans="1:13">
      <c r="B14" s="4" t="s">
        <v>4</v>
      </c>
      <c r="C14" s="4" t="s">
        <v>5</v>
      </c>
      <c r="D14" s="4"/>
      <c r="E14" s="4" t="s">
        <v>6</v>
      </c>
      <c r="F14" s="5"/>
      <c r="G14" s="4" t="s">
        <v>7</v>
      </c>
      <c r="H14" s="5"/>
      <c r="I14" s="5" t="s">
        <v>6</v>
      </c>
      <c r="J14" s="5"/>
    </row>
    <row r="15" spans="1:13">
      <c r="B15" s="4" t="s">
        <v>8</v>
      </c>
      <c r="C15" s="4" t="s">
        <v>8</v>
      </c>
      <c r="D15" s="4" t="s">
        <v>9</v>
      </c>
      <c r="E15" s="4" t="s">
        <v>8</v>
      </c>
      <c r="F15" s="5" t="s">
        <v>9</v>
      </c>
      <c r="G15" s="5" t="s">
        <v>8</v>
      </c>
      <c r="H15" s="5" t="s">
        <v>9</v>
      </c>
      <c r="I15" s="5" t="s">
        <v>8</v>
      </c>
      <c r="J15" s="5" t="s">
        <v>9</v>
      </c>
    </row>
    <row r="16" spans="1:13">
      <c r="B16" s="4"/>
      <c r="C16" s="4"/>
      <c r="D16" s="4"/>
      <c r="E16" s="4"/>
      <c r="F16" s="4"/>
      <c r="G16" s="4"/>
      <c r="H16" s="4"/>
      <c r="I16" s="4"/>
      <c r="J16" s="4"/>
    </row>
    <row r="17" spans="1:13">
      <c r="A17" s="3" t="s">
        <v>10</v>
      </c>
      <c r="B17" s="6">
        <f>C17+G17</f>
        <v>589765</v>
      </c>
      <c r="C17" s="7">
        <v>53625</v>
      </c>
      <c r="D17" s="8">
        <f t="shared" ref="D17:D22" si="2">C17/B17</f>
        <v>9.0926046815256928E-2</v>
      </c>
      <c r="E17" s="12">
        <v>36977535</v>
      </c>
      <c r="F17" s="10">
        <f>E17/(E17+I17)</f>
        <v>9.2949199509255842E-2</v>
      </c>
      <c r="G17" s="11">
        <v>536140</v>
      </c>
      <c r="H17" s="10">
        <f t="shared" ref="H17:H22" si="3">G17/B17</f>
        <v>0.90907395318474304</v>
      </c>
      <c r="I17" s="12">
        <v>360847677</v>
      </c>
      <c r="J17" s="10">
        <f>I17/(E17+I17)</f>
        <v>0.90705080049074416</v>
      </c>
    </row>
    <row r="18" spans="1:13">
      <c r="A18" s="3" t="s">
        <v>11</v>
      </c>
      <c r="B18" s="6">
        <f>C18+G18</f>
        <v>67315</v>
      </c>
      <c r="C18" s="7">
        <v>19561</v>
      </c>
      <c r="D18" s="8">
        <f t="shared" si="2"/>
        <v>0.29058902176335139</v>
      </c>
      <c r="E18" s="12">
        <v>21799122</v>
      </c>
      <c r="F18" s="10">
        <f>E18/(E18+I18)</f>
        <v>0.32972404570576802</v>
      </c>
      <c r="G18" s="11">
        <v>47754</v>
      </c>
      <c r="H18" s="10">
        <f t="shared" si="3"/>
        <v>0.70941097823664856</v>
      </c>
      <c r="I18" s="12">
        <v>44314109</v>
      </c>
      <c r="J18" s="10">
        <f>I18/(E18+I18)</f>
        <v>0.67027595429423192</v>
      </c>
    </row>
    <row r="19" spans="1:13">
      <c r="A19" s="3" t="s">
        <v>12</v>
      </c>
      <c r="B19" s="6">
        <f>C19+G19</f>
        <v>9925</v>
      </c>
      <c r="C19" s="7">
        <v>5660</v>
      </c>
      <c r="D19" s="8">
        <f t="shared" si="2"/>
        <v>0.57027707808564232</v>
      </c>
      <c r="E19" s="12">
        <v>124344975</v>
      </c>
      <c r="F19" s="10">
        <f>E19/(E19+I19)</f>
        <v>0.72458868373767138</v>
      </c>
      <c r="G19" s="11">
        <v>4265</v>
      </c>
      <c r="H19" s="10">
        <f t="shared" si="3"/>
        <v>0.42972292191435768</v>
      </c>
      <c r="I19" s="12">
        <v>47262694</v>
      </c>
      <c r="J19" s="10">
        <f>I19/(E19+I19)</f>
        <v>0.27541131626232856</v>
      </c>
    </row>
    <row r="20" spans="1:13">
      <c r="A20" s="3" t="s">
        <v>13</v>
      </c>
      <c r="B20" s="6">
        <f>C20+G20</f>
        <v>382</v>
      </c>
      <c r="C20" s="7">
        <v>333</v>
      </c>
      <c r="D20" s="8">
        <f t="shared" si="2"/>
        <v>0.87172774869109948</v>
      </c>
      <c r="E20" s="12">
        <v>153770939</v>
      </c>
      <c r="F20" s="10">
        <f>E20/(E20+I20)</f>
        <v>0.97509542728313536</v>
      </c>
      <c r="G20" s="11">
        <v>49</v>
      </c>
      <c r="H20" s="10">
        <f t="shared" si="3"/>
        <v>0.12827225130890052</v>
      </c>
      <c r="I20" s="12">
        <v>3927410</v>
      </c>
      <c r="J20" s="10">
        <f>I20/(E20+I20)</f>
        <v>2.4904572716864651E-2</v>
      </c>
    </row>
    <row r="21" spans="1:13">
      <c r="A21" s="3" t="s">
        <v>14</v>
      </c>
      <c r="B21" s="6">
        <f>C21+G21</f>
        <v>5686</v>
      </c>
      <c r="C21" s="7">
        <v>1649</v>
      </c>
      <c r="D21" s="8">
        <f t="shared" si="2"/>
        <v>0.2900105522335561</v>
      </c>
      <c r="E21" s="12">
        <v>1774437</v>
      </c>
      <c r="F21" s="10">
        <f>E21/(E21+I20)</f>
        <v>0.31120389586041153</v>
      </c>
      <c r="G21" s="11">
        <v>4037</v>
      </c>
      <c r="H21" s="10">
        <f t="shared" si="3"/>
        <v>0.7099894477664439</v>
      </c>
      <c r="I21" s="13">
        <v>905786</v>
      </c>
      <c r="J21" s="10">
        <f>I20/(E21+I20)</f>
        <v>0.68879610413958847</v>
      </c>
      <c r="M21" s="14"/>
    </row>
    <row r="22" spans="1:13" ht="15.75">
      <c r="B22" s="15">
        <f>SUM(B17:B21)</f>
        <v>673073</v>
      </c>
      <c r="C22" s="16">
        <f>SUM(C17:C21)</f>
        <v>80828</v>
      </c>
      <c r="D22" s="17">
        <f t="shared" si="2"/>
        <v>0.12008801422728292</v>
      </c>
      <c r="E22" s="18">
        <f>SUM(E17:E21)</f>
        <v>338667008</v>
      </c>
      <c r="F22" s="10">
        <f>E22/(E22+I22)</f>
        <v>0.42550132544953212</v>
      </c>
      <c r="G22" s="18">
        <f>SUM(G17:G21)</f>
        <v>592245</v>
      </c>
      <c r="H22" s="17">
        <f t="shared" si="3"/>
        <v>0.87991198577271712</v>
      </c>
      <c r="I22" s="18">
        <f>I21+I20+I19+I18+I17</f>
        <v>457257676</v>
      </c>
      <c r="J22" s="10">
        <f>I22/(E22+I22)</f>
        <v>0.57449867455046788</v>
      </c>
    </row>
    <row r="23" spans="1:13" ht="15.75">
      <c r="A23" s="1" t="s">
        <v>0</v>
      </c>
      <c r="B23" s="3"/>
      <c r="J23" s="3"/>
    </row>
    <row r="24" spans="1:13" ht="15.75">
      <c r="A24" s="1" t="s">
        <v>16</v>
      </c>
      <c r="B24" s="2">
        <v>2</v>
      </c>
      <c r="C24" s="2" t="s">
        <v>2</v>
      </c>
      <c r="D24" s="2"/>
      <c r="E24" s="2"/>
      <c r="F24" s="2"/>
      <c r="G24" s="2" t="s">
        <v>3</v>
      </c>
      <c r="H24" s="2"/>
      <c r="I24" s="2"/>
      <c r="J24" s="2"/>
    </row>
    <row r="25" spans="1:13">
      <c r="B25" s="4" t="s">
        <v>4</v>
      </c>
      <c r="C25" s="4" t="s">
        <v>5</v>
      </c>
      <c r="D25" s="4"/>
      <c r="E25" s="4" t="s">
        <v>6</v>
      </c>
      <c r="F25" s="5"/>
      <c r="G25" s="4" t="s">
        <v>7</v>
      </c>
      <c r="H25" s="5"/>
      <c r="I25" s="5" t="s">
        <v>6</v>
      </c>
      <c r="J25" s="5"/>
    </row>
    <row r="26" spans="1:13">
      <c r="B26" s="4" t="s">
        <v>8</v>
      </c>
      <c r="C26" s="4" t="s">
        <v>8</v>
      </c>
      <c r="D26" s="4" t="s">
        <v>9</v>
      </c>
      <c r="E26" s="4" t="s">
        <v>8</v>
      </c>
      <c r="F26" s="5" t="s">
        <v>9</v>
      </c>
      <c r="G26" s="5" t="s">
        <v>8</v>
      </c>
      <c r="H26" s="5" t="s">
        <v>9</v>
      </c>
      <c r="I26" s="5" t="s">
        <v>8</v>
      </c>
      <c r="J26" s="5" t="s">
        <v>9</v>
      </c>
    </row>
    <row r="27" spans="1:13">
      <c r="B27" s="4"/>
      <c r="C27" s="4"/>
      <c r="D27" s="4"/>
      <c r="E27" s="4"/>
      <c r="F27" s="4"/>
      <c r="G27" s="4"/>
      <c r="H27" s="4"/>
      <c r="I27" s="4"/>
      <c r="J27" s="4"/>
    </row>
    <row r="28" spans="1:13">
      <c r="A28" s="3" t="s">
        <v>10</v>
      </c>
      <c r="B28" s="6">
        <f>C28+G28</f>
        <v>538572</v>
      </c>
      <c r="C28" s="7">
        <v>51033</v>
      </c>
      <c r="D28" s="8">
        <f t="shared" ref="D28:D33" si="4">C28/B28</f>
        <v>9.4756132884739649E-2</v>
      </c>
      <c r="E28" s="12">
        <v>26754138</v>
      </c>
      <c r="F28" s="10">
        <f>E28/(E28+I28)</f>
        <v>9.928064651561963E-2</v>
      </c>
      <c r="G28" s="11">
        <v>487539</v>
      </c>
      <c r="H28" s="10">
        <f t="shared" ref="H28:H33" si="5">G28/B28</f>
        <v>0.90524386711526039</v>
      </c>
      <c r="I28" s="12">
        <v>242725755</v>
      </c>
      <c r="J28" s="10">
        <f>I28/(E28+I28)</f>
        <v>0.90071935348438037</v>
      </c>
    </row>
    <row r="29" spans="1:13">
      <c r="A29" s="3" t="s">
        <v>11</v>
      </c>
      <c r="B29" s="6">
        <f>C29+G29</f>
        <v>61172</v>
      </c>
      <c r="C29" s="7">
        <v>17901</v>
      </c>
      <c r="D29" s="8">
        <f t="shared" si="4"/>
        <v>0.29263388478388808</v>
      </c>
      <c r="E29" s="12">
        <v>15646652</v>
      </c>
      <c r="F29" s="10">
        <f>E29/(E29+I29)</f>
        <v>0.33261400350341935</v>
      </c>
      <c r="G29" s="11">
        <v>43271</v>
      </c>
      <c r="H29" s="10">
        <f t="shared" si="5"/>
        <v>0.70736611521611192</v>
      </c>
      <c r="I29" s="12">
        <v>31394819</v>
      </c>
      <c r="J29" s="10">
        <f>I29/(E29+I29)</f>
        <v>0.66738599649658059</v>
      </c>
    </row>
    <row r="30" spans="1:13">
      <c r="A30" s="3" t="s">
        <v>12</v>
      </c>
      <c r="B30" s="6">
        <f>C30+G30</f>
        <v>9156</v>
      </c>
      <c r="C30" s="7">
        <v>5196</v>
      </c>
      <c r="D30" s="8">
        <f t="shared" si="4"/>
        <v>0.56749672346002622</v>
      </c>
      <c r="E30" s="12">
        <v>98034976</v>
      </c>
      <c r="F30" s="10">
        <f>E30/(E30+I30)</f>
        <v>0.72499057201426254</v>
      </c>
      <c r="G30" s="11">
        <v>3960</v>
      </c>
      <c r="H30" s="10">
        <f t="shared" si="5"/>
        <v>0.43250327653997378</v>
      </c>
      <c r="I30" s="12">
        <v>37187439</v>
      </c>
      <c r="J30" s="10">
        <f>I30/(E30+I30)</f>
        <v>0.27500942798573741</v>
      </c>
    </row>
    <row r="31" spans="1:13">
      <c r="A31" s="3" t="s">
        <v>13</v>
      </c>
      <c r="B31" s="6">
        <f>C31+G31</f>
        <v>338</v>
      </c>
      <c r="C31" s="7">
        <v>285</v>
      </c>
      <c r="D31" s="8">
        <f t="shared" si="4"/>
        <v>0.84319526627218933</v>
      </c>
      <c r="E31" s="12">
        <v>143969606</v>
      </c>
      <c r="F31" s="10">
        <f>E31/(E31+I31)</f>
        <v>0.97385093172869608</v>
      </c>
      <c r="G31" s="11">
        <v>53</v>
      </c>
      <c r="H31" s="10">
        <f t="shared" si="5"/>
        <v>0.15680473372781065</v>
      </c>
      <c r="I31" s="12">
        <v>3865757</v>
      </c>
      <c r="J31" s="10">
        <f>I31/(E31+I31)</f>
        <v>2.6149068271303939E-2</v>
      </c>
    </row>
    <row r="32" spans="1:13">
      <c r="A32" s="3" t="s">
        <v>14</v>
      </c>
      <c r="B32" s="6">
        <f>C32+G32</f>
        <v>4847</v>
      </c>
      <c r="C32" s="7">
        <v>1322</v>
      </c>
      <c r="D32" s="8">
        <f t="shared" si="4"/>
        <v>0.27274602847121932</v>
      </c>
      <c r="E32" s="12">
        <v>540263</v>
      </c>
      <c r="F32" s="10">
        <f>E32/(E32+I31)</f>
        <v>0.12261927998511128</v>
      </c>
      <c r="G32" s="11">
        <v>3525</v>
      </c>
      <c r="H32" s="10">
        <f t="shared" si="5"/>
        <v>0.72725397152878068</v>
      </c>
      <c r="I32" s="13">
        <v>469234</v>
      </c>
      <c r="J32" s="10">
        <f>I31/(E32+I31)</f>
        <v>0.87738072001488876</v>
      </c>
      <c r="M32" s="14"/>
    </row>
    <row r="33" spans="1:13" ht="15.75">
      <c r="B33" s="15">
        <f>SUM(B28:B32)</f>
        <v>614085</v>
      </c>
      <c r="C33" s="16">
        <f>SUM(C28:C32)</f>
        <v>75737</v>
      </c>
      <c r="D33" s="17">
        <f t="shared" si="4"/>
        <v>0.12333308906747437</v>
      </c>
      <c r="E33" s="18">
        <f>SUM(E28:E32)</f>
        <v>284945635</v>
      </c>
      <c r="F33" s="10">
        <f>E33/(E33+I33)</f>
        <v>0.47444393133117524</v>
      </c>
      <c r="G33" s="18">
        <f>SUM(G28:G32)</f>
        <v>538348</v>
      </c>
      <c r="H33" s="17">
        <f t="shared" si="5"/>
        <v>0.87666691093252558</v>
      </c>
      <c r="I33" s="18">
        <f>I32+I31+I30+I29+I28</f>
        <v>315643004</v>
      </c>
      <c r="J33" s="10">
        <f>I33/(E33+I33)</f>
        <v>0.52555606866882476</v>
      </c>
    </row>
    <row r="34" spans="1:13" ht="15.75">
      <c r="A34" s="1" t="s">
        <v>0</v>
      </c>
      <c r="B34" s="3"/>
      <c r="J34" s="3"/>
    </row>
    <row r="35" spans="1:13" ht="15.75">
      <c r="A35" s="1" t="s">
        <v>17</v>
      </c>
      <c r="B35" s="2">
        <v>2</v>
      </c>
      <c r="C35" s="2" t="s">
        <v>2</v>
      </c>
      <c r="D35" s="2"/>
      <c r="E35" s="2"/>
      <c r="F35" s="2"/>
      <c r="G35" s="2" t="s">
        <v>3</v>
      </c>
      <c r="H35" s="2"/>
      <c r="I35" s="2"/>
      <c r="J35" s="2"/>
    </row>
    <row r="36" spans="1:13">
      <c r="B36" s="4" t="s">
        <v>4</v>
      </c>
      <c r="C36" s="4" t="s">
        <v>5</v>
      </c>
      <c r="D36" s="4"/>
      <c r="E36" s="4" t="s">
        <v>6</v>
      </c>
      <c r="F36" s="5"/>
      <c r="G36" s="4" t="s">
        <v>7</v>
      </c>
      <c r="H36" s="5"/>
      <c r="I36" s="5" t="s">
        <v>6</v>
      </c>
      <c r="J36" s="5"/>
    </row>
    <row r="37" spans="1:13">
      <c r="B37" s="4" t="s">
        <v>8</v>
      </c>
      <c r="C37" s="4" t="s">
        <v>8</v>
      </c>
      <c r="D37" s="4" t="s">
        <v>9</v>
      </c>
      <c r="E37" s="4" t="s">
        <v>8</v>
      </c>
      <c r="F37" s="5" t="s">
        <v>9</v>
      </c>
      <c r="G37" s="5" t="s">
        <v>8</v>
      </c>
      <c r="H37" s="5" t="s">
        <v>9</v>
      </c>
      <c r="I37" s="5" t="s">
        <v>8</v>
      </c>
      <c r="J37" s="5" t="s">
        <v>9</v>
      </c>
    </row>
    <row r="38" spans="1:13">
      <c r="B38" s="4"/>
      <c r="C38" s="4"/>
      <c r="D38" s="4"/>
      <c r="E38" s="4"/>
      <c r="F38" s="4"/>
      <c r="G38" s="4"/>
      <c r="H38" s="4"/>
      <c r="I38" s="4"/>
      <c r="J38" s="4"/>
    </row>
    <row r="39" spans="1:13">
      <c r="A39" s="3" t="s">
        <v>10</v>
      </c>
      <c r="B39" s="6">
        <f>C39+G39</f>
        <v>589073</v>
      </c>
      <c r="C39" s="7">
        <v>57648</v>
      </c>
      <c r="D39" s="8">
        <f t="shared" ref="D39:D44" si="6">C39/B39</f>
        <v>9.7862234392002354E-2</v>
      </c>
      <c r="E39" s="12">
        <v>29917150.625</v>
      </c>
      <c r="F39" s="10">
        <f>E39/(E39+I39)</f>
        <v>0.10357218998756151</v>
      </c>
      <c r="G39" s="11">
        <v>531425</v>
      </c>
      <c r="H39" s="10">
        <f t="shared" ref="H39:H44" si="7">G39/B39</f>
        <v>0.90213776560799763</v>
      </c>
      <c r="I39" s="12">
        <v>258935973.255</v>
      </c>
      <c r="J39" s="10">
        <f>I39/(E39+I39)</f>
        <v>0.89642781001243854</v>
      </c>
    </row>
    <row r="40" spans="1:13">
      <c r="A40" s="3" t="s">
        <v>11</v>
      </c>
      <c r="B40" s="6">
        <f>C40+G40</f>
        <v>67051</v>
      </c>
      <c r="C40" s="7">
        <v>19577</v>
      </c>
      <c r="D40" s="8">
        <f t="shared" si="6"/>
        <v>0.29197178267289081</v>
      </c>
      <c r="E40" s="12">
        <v>18462249.456999999</v>
      </c>
      <c r="F40" s="10">
        <f>E40/(E40+I40)</f>
        <v>0.33411096036158816</v>
      </c>
      <c r="G40" s="11">
        <v>47474</v>
      </c>
      <c r="H40" s="10">
        <f t="shared" si="7"/>
        <v>0.70802821732710919</v>
      </c>
      <c r="I40" s="12">
        <v>36795588.947999999</v>
      </c>
      <c r="J40" s="10">
        <f>I40/(E40+I40)</f>
        <v>0.66588903963841184</v>
      </c>
    </row>
    <row r="41" spans="1:13">
      <c r="A41" s="3" t="s">
        <v>12</v>
      </c>
      <c r="B41" s="6">
        <f>C41+G41</f>
        <v>10152</v>
      </c>
      <c r="C41" s="7">
        <v>5764</v>
      </c>
      <c r="D41" s="8">
        <f t="shared" si="6"/>
        <v>0.56776989755713159</v>
      </c>
      <c r="E41" s="12">
        <v>120793738.984</v>
      </c>
      <c r="F41" s="10">
        <f>E41/(E41+I41)</f>
        <v>0.72240388101601327</v>
      </c>
      <c r="G41" s="11">
        <v>4388</v>
      </c>
      <c r="H41" s="10">
        <f t="shared" si="7"/>
        <v>0.43223010244286841</v>
      </c>
      <c r="I41" s="12">
        <v>46417072.251000002</v>
      </c>
      <c r="J41" s="10">
        <f>I41/(E41+I41)</f>
        <v>0.27759611898398667</v>
      </c>
    </row>
    <row r="42" spans="1:13">
      <c r="A42" s="3" t="s">
        <v>13</v>
      </c>
      <c r="B42" s="6">
        <f>C42+G42</f>
        <v>400</v>
      </c>
      <c r="C42" s="7">
        <v>348</v>
      </c>
      <c r="D42" s="8">
        <f t="shared" si="6"/>
        <v>0.87</v>
      </c>
      <c r="E42" s="12">
        <v>190444662.329</v>
      </c>
      <c r="F42" s="10">
        <f>E42/(E42+I42)</f>
        <v>0.94772329659489263</v>
      </c>
      <c r="G42" s="11">
        <v>52</v>
      </c>
      <c r="H42" s="10">
        <f t="shared" si="7"/>
        <v>0.13</v>
      </c>
      <c r="I42" s="12">
        <v>10504985.119000001</v>
      </c>
      <c r="J42" s="10">
        <f>I42/(E42+I42)</f>
        <v>5.2276703405107441E-2</v>
      </c>
    </row>
    <row r="43" spans="1:13">
      <c r="A43" s="3" t="s">
        <v>14</v>
      </c>
      <c r="B43" s="6">
        <f>C43+G43</f>
        <v>5693</v>
      </c>
      <c r="C43" s="7">
        <v>1653</v>
      </c>
      <c r="D43" s="8">
        <f t="shared" si="6"/>
        <v>0.29035657825399613</v>
      </c>
      <c r="E43" s="12">
        <v>1076959</v>
      </c>
      <c r="F43" s="10">
        <f>E43/(E43+I42)</f>
        <v>9.2986029714412569E-2</v>
      </c>
      <c r="G43" s="11">
        <v>4040</v>
      </c>
      <c r="H43" s="10">
        <f t="shared" si="7"/>
        <v>0.70964342174600381</v>
      </c>
      <c r="I43" s="13">
        <v>625097</v>
      </c>
      <c r="J43" s="10">
        <f>I42/(E43+I42)</f>
        <v>0.90701397028558739</v>
      </c>
      <c r="M43" s="14"/>
    </row>
    <row r="44" spans="1:13" ht="15.75">
      <c r="B44" s="15">
        <f>SUM(B39:B43)</f>
        <v>672369</v>
      </c>
      <c r="C44" s="16">
        <f>SUM(C39:C43)</f>
        <v>84990</v>
      </c>
      <c r="D44" s="17">
        <f t="shared" si="6"/>
        <v>0.12640380505347509</v>
      </c>
      <c r="E44" s="18">
        <f>SUM(E39:E43)</f>
        <v>360694760.39499998</v>
      </c>
      <c r="F44" s="10">
        <f>E44/(E44+I44)</f>
        <v>0.50519350092211646</v>
      </c>
      <c r="G44" s="18">
        <f>SUM(G39:G43)</f>
        <v>587379</v>
      </c>
      <c r="H44" s="17">
        <f t="shared" si="7"/>
        <v>0.87359619494652485</v>
      </c>
      <c r="I44" s="18">
        <f>I43+I42+I41+I40+I39</f>
        <v>353278716.57300001</v>
      </c>
      <c r="J44" s="10">
        <f>I44/(E44+I44)</f>
        <v>0.4948064990778836</v>
      </c>
    </row>
    <row r="45" spans="1:13" ht="15.75">
      <c r="A45" s="1" t="s">
        <v>0</v>
      </c>
      <c r="B45" s="3"/>
      <c r="J45" s="3"/>
    </row>
    <row r="46" spans="1:13" ht="15.75">
      <c r="A46" s="1" t="s">
        <v>18</v>
      </c>
      <c r="B46" s="2">
        <v>2</v>
      </c>
      <c r="C46" s="2" t="s">
        <v>2</v>
      </c>
      <c r="D46" s="2"/>
      <c r="E46" s="2"/>
      <c r="F46" s="2"/>
      <c r="G46" s="2" t="s">
        <v>3</v>
      </c>
      <c r="H46" s="2"/>
      <c r="I46" s="2"/>
      <c r="J46" s="2"/>
    </row>
    <row r="47" spans="1:13">
      <c r="B47" s="4" t="s">
        <v>4</v>
      </c>
      <c r="C47" s="4" t="s">
        <v>5</v>
      </c>
      <c r="D47" s="4"/>
      <c r="E47" s="4" t="s">
        <v>6</v>
      </c>
      <c r="F47" s="5"/>
      <c r="G47" s="4" t="s">
        <v>7</v>
      </c>
      <c r="H47" s="5"/>
      <c r="I47" s="5" t="s">
        <v>6</v>
      </c>
      <c r="J47" s="5"/>
    </row>
    <row r="48" spans="1:13">
      <c r="B48" s="4" t="s">
        <v>8</v>
      </c>
      <c r="C48" s="4" t="s">
        <v>8</v>
      </c>
      <c r="D48" s="4" t="s">
        <v>9</v>
      </c>
      <c r="E48" s="4" t="s">
        <v>8</v>
      </c>
      <c r="F48" s="5" t="s">
        <v>9</v>
      </c>
      <c r="G48" s="5" t="s">
        <v>8</v>
      </c>
      <c r="H48" s="5" t="s">
        <v>9</v>
      </c>
      <c r="I48" s="5" t="s">
        <v>8</v>
      </c>
      <c r="J48" s="5" t="s">
        <v>9</v>
      </c>
    </row>
    <row r="49" spans="1:13">
      <c r="B49" s="4"/>
      <c r="C49" s="4"/>
      <c r="D49" s="4"/>
      <c r="E49" s="4"/>
      <c r="F49" s="4"/>
      <c r="G49" s="4"/>
      <c r="H49" s="4"/>
      <c r="I49" s="4"/>
      <c r="J49" s="4"/>
    </row>
    <row r="50" spans="1:13">
      <c r="A50" s="3" t="s">
        <v>10</v>
      </c>
      <c r="B50" s="6">
        <f>C50+G50</f>
        <v>565059</v>
      </c>
      <c r="C50" s="7">
        <v>56802</v>
      </c>
      <c r="D50" s="8">
        <f t="shared" ref="D50:D55" si="8">C50/B50</f>
        <v>0.10052401607619735</v>
      </c>
      <c r="E50" s="12">
        <v>33880935</v>
      </c>
      <c r="F50" s="10">
        <f>E50/(E50+I50)</f>
        <v>0.10806636160642605</v>
      </c>
      <c r="G50" s="11">
        <v>508257</v>
      </c>
      <c r="H50" s="10">
        <f t="shared" ref="H50:H55" si="9">G50/B50</f>
        <v>0.89947598392380268</v>
      </c>
      <c r="I50" s="12">
        <v>279638781</v>
      </c>
      <c r="J50" s="10">
        <f>I50/(E50+I50)</f>
        <v>0.89193363839357398</v>
      </c>
    </row>
    <row r="51" spans="1:13">
      <c r="A51" s="3" t="s">
        <v>11</v>
      </c>
      <c r="B51" s="6">
        <f>C51+G51</f>
        <v>64103</v>
      </c>
      <c r="C51" s="7">
        <v>18844</v>
      </c>
      <c r="D51" s="8">
        <f t="shared" si="8"/>
        <v>0.29396440104207289</v>
      </c>
      <c r="E51" s="12">
        <v>19934103</v>
      </c>
      <c r="F51" s="10">
        <f>E51/(E51+I51)</f>
        <v>0.33265878521629544</v>
      </c>
      <c r="G51" s="11">
        <v>45259</v>
      </c>
      <c r="H51" s="10">
        <f t="shared" si="9"/>
        <v>0.70603559895792711</v>
      </c>
      <c r="I51" s="12">
        <v>39989470</v>
      </c>
      <c r="J51" s="10">
        <f>I51/(E51+I51)</f>
        <v>0.66734121478370456</v>
      </c>
    </row>
    <row r="52" spans="1:13">
      <c r="A52" s="3" t="s">
        <v>12</v>
      </c>
      <c r="B52" s="6">
        <f>C52+G52</f>
        <v>9559</v>
      </c>
      <c r="C52" s="7">
        <v>5411</v>
      </c>
      <c r="D52" s="8">
        <f t="shared" si="8"/>
        <v>0.56606339575269382</v>
      </c>
      <c r="E52" s="12">
        <v>125280837</v>
      </c>
      <c r="F52" s="10">
        <f>E52/(E52+I52)</f>
        <v>0.72354624904389064</v>
      </c>
      <c r="G52" s="11">
        <v>4148</v>
      </c>
      <c r="H52" s="10">
        <f t="shared" si="9"/>
        <v>0.43393660424730618</v>
      </c>
      <c r="I52" s="12">
        <v>47867510</v>
      </c>
      <c r="J52" s="10">
        <f>I52/(E52+I52)</f>
        <v>0.27645375095610936</v>
      </c>
    </row>
    <row r="53" spans="1:13">
      <c r="A53" s="3" t="s">
        <v>13</v>
      </c>
      <c r="B53" s="6">
        <f>C53+G53</f>
        <v>374</v>
      </c>
      <c r="C53" s="7">
        <v>332</v>
      </c>
      <c r="D53" s="8">
        <f t="shared" si="8"/>
        <v>0.88770053475935828</v>
      </c>
      <c r="E53" s="12">
        <v>198708470</v>
      </c>
      <c r="F53" s="10">
        <f>E53/(E53+I53)</f>
        <v>0.9780426672343896</v>
      </c>
      <c r="G53" s="11">
        <v>42</v>
      </c>
      <c r="H53" s="10">
        <f t="shared" si="9"/>
        <v>0.11229946524064172</v>
      </c>
      <c r="I53" s="12">
        <v>4461061</v>
      </c>
      <c r="J53" s="10">
        <f>I53/(E53+I53)</f>
        <v>2.1957332765610411E-2</v>
      </c>
    </row>
    <row r="54" spans="1:13">
      <c r="A54" s="3" t="s">
        <v>14</v>
      </c>
      <c r="B54" s="6">
        <f>C54+G54</f>
        <v>5478</v>
      </c>
      <c r="C54" s="7">
        <v>1589</v>
      </c>
      <c r="D54" s="8">
        <f t="shared" si="8"/>
        <v>0.29006936838262137</v>
      </c>
      <c r="E54" s="12">
        <v>868838</v>
      </c>
      <c r="F54" s="10">
        <f>E54/(E54+I53)</f>
        <v>0.16301209460066693</v>
      </c>
      <c r="G54" s="11">
        <v>3889</v>
      </c>
      <c r="H54" s="10">
        <f t="shared" si="9"/>
        <v>0.70993063161737857</v>
      </c>
      <c r="I54" s="13">
        <v>552539</v>
      </c>
      <c r="J54" s="10">
        <f>I53/(E54+I53)</f>
        <v>0.8369879053993331</v>
      </c>
      <c r="M54" s="14"/>
    </row>
    <row r="55" spans="1:13" ht="15.75">
      <c r="B55" s="15">
        <f>SUM(B50:B54)</f>
        <v>644573</v>
      </c>
      <c r="C55" s="16">
        <f>SUM(C50:C54)</f>
        <v>82978</v>
      </c>
      <c r="D55" s="17">
        <f t="shared" si="8"/>
        <v>0.12873328544633425</v>
      </c>
      <c r="E55" s="18">
        <f>SUM(E50:E54)</f>
        <v>378673183</v>
      </c>
      <c r="F55" s="10">
        <f>E55/(E55+I55)</f>
        <v>0.50410274576348513</v>
      </c>
      <c r="G55" s="18">
        <f>SUM(G50:G54)</f>
        <v>561595</v>
      </c>
      <c r="H55" s="17">
        <f t="shared" si="9"/>
        <v>0.87126671455366578</v>
      </c>
      <c r="I55" s="18">
        <f>I54+I53+I52+I51+I50</f>
        <v>372509361</v>
      </c>
      <c r="J55" s="10">
        <f>I55/(E55+I55)</f>
        <v>0.49589725423651487</v>
      </c>
    </row>
    <row r="56" spans="1:13" ht="15.75">
      <c r="A56" s="1" t="s">
        <v>0</v>
      </c>
      <c r="B56" s="3"/>
      <c r="J56" s="3"/>
    </row>
    <row r="57" spans="1:13" ht="15.75">
      <c r="A57" s="1" t="s">
        <v>19</v>
      </c>
      <c r="B57" s="2">
        <v>2</v>
      </c>
      <c r="C57" s="2" t="s">
        <v>2</v>
      </c>
      <c r="D57" s="2"/>
      <c r="E57" s="2"/>
      <c r="F57" s="2"/>
      <c r="G57" s="2" t="s">
        <v>3</v>
      </c>
      <c r="H57" s="2"/>
      <c r="I57" s="2"/>
      <c r="J57" s="2"/>
    </row>
    <row r="58" spans="1:13">
      <c r="B58" s="4" t="s">
        <v>4</v>
      </c>
      <c r="C58" s="4" t="s">
        <v>5</v>
      </c>
      <c r="D58" s="4"/>
      <c r="E58" s="4" t="s">
        <v>6</v>
      </c>
      <c r="F58" s="5"/>
      <c r="G58" s="4" t="s">
        <v>7</v>
      </c>
      <c r="H58" s="5"/>
      <c r="I58" s="5" t="s">
        <v>6</v>
      </c>
      <c r="J58" s="5"/>
    </row>
    <row r="59" spans="1:13">
      <c r="B59" s="4" t="s">
        <v>8</v>
      </c>
      <c r="C59" s="4" t="s">
        <v>8</v>
      </c>
      <c r="D59" s="4" t="s">
        <v>9</v>
      </c>
      <c r="E59" s="4" t="s">
        <v>8</v>
      </c>
      <c r="F59" s="5" t="s">
        <v>9</v>
      </c>
      <c r="G59" s="5" t="s">
        <v>8</v>
      </c>
      <c r="H59" s="5" t="s">
        <v>9</v>
      </c>
      <c r="I59" s="5" t="s">
        <v>8</v>
      </c>
      <c r="J59" s="5" t="s">
        <v>9</v>
      </c>
    </row>
    <row r="60" spans="1:13">
      <c r="B60" s="4"/>
      <c r="C60" s="4"/>
      <c r="D60" s="4"/>
      <c r="E60" s="4"/>
      <c r="F60" s="4"/>
      <c r="G60" s="4"/>
      <c r="H60" s="4"/>
      <c r="I60" s="4"/>
      <c r="J60" s="4"/>
    </row>
    <row r="61" spans="1:13">
      <c r="A61" s="3" t="s">
        <v>10</v>
      </c>
      <c r="B61" s="6">
        <f>C61+G61</f>
        <v>587883</v>
      </c>
      <c r="C61" s="7">
        <v>59825</v>
      </c>
      <c r="D61" s="8">
        <f t="shared" ref="D61:D66" si="10">C61/B61</f>
        <v>0.10176344612788599</v>
      </c>
      <c r="E61" s="12">
        <v>42675741</v>
      </c>
      <c r="F61" s="10">
        <f>E61/(E61+I61)</f>
        <v>0.10914700078175774</v>
      </c>
      <c r="G61" s="11">
        <v>528058</v>
      </c>
      <c r="H61" s="10">
        <f t="shared" ref="H61:H66" si="11">G61/B61</f>
        <v>0.89823655387211399</v>
      </c>
      <c r="I61" s="12">
        <v>348317513</v>
      </c>
      <c r="J61" s="10">
        <f>I61/(E61+I61)</f>
        <v>0.89085299921824224</v>
      </c>
    </row>
    <row r="62" spans="1:13">
      <c r="A62" s="3" t="s">
        <v>11</v>
      </c>
      <c r="B62" s="6">
        <f>C62+G62</f>
        <v>66913</v>
      </c>
      <c r="C62" s="7">
        <v>19649</v>
      </c>
      <c r="D62" s="8">
        <f t="shared" si="10"/>
        <v>0.29364996338529137</v>
      </c>
      <c r="E62" s="12">
        <v>22473370</v>
      </c>
      <c r="F62" s="10">
        <f>E62/(E62+I62)</f>
        <v>0.32225026524661882</v>
      </c>
      <c r="G62" s="11">
        <v>47264</v>
      </c>
      <c r="H62" s="10">
        <f t="shared" si="11"/>
        <v>0.70635003661470863</v>
      </c>
      <c r="I62" s="12">
        <v>47265502</v>
      </c>
      <c r="J62" s="10">
        <f>I62/(E62+I62)</f>
        <v>0.67774973475338118</v>
      </c>
    </row>
    <row r="63" spans="1:13">
      <c r="A63" s="3" t="s">
        <v>12</v>
      </c>
      <c r="B63" s="6">
        <f>C63+G63</f>
        <v>10139</v>
      </c>
      <c r="C63" s="7">
        <v>5796</v>
      </c>
      <c r="D63" s="8">
        <f t="shared" si="10"/>
        <v>0.5716540092711313</v>
      </c>
      <c r="E63" s="12">
        <v>136402965</v>
      </c>
      <c r="F63" s="10">
        <f>E63/(E63+I63)</f>
        <v>0.71241706658474957</v>
      </c>
      <c r="G63" s="11">
        <v>4343</v>
      </c>
      <c r="H63" s="10">
        <f t="shared" si="11"/>
        <v>0.4283459907288687</v>
      </c>
      <c r="I63" s="12">
        <v>55062079</v>
      </c>
      <c r="J63" s="10">
        <f>I63/(E63+I63)</f>
        <v>0.28758293341525049</v>
      </c>
    </row>
    <row r="64" spans="1:13">
      <c r="A64" s="3" t="s">
        <v>13</v>
      </c>
      <c r="B64" s="6">
        <f>C64+G64</f>
        <v>391</v>
      </c>
      <c r="C64" s="7">
        <v>339</v>
      </c>
      <c r="D64" s="8">
        <f t="shared" si="10"/>
        <v>0.86700767263427114</v>
      </c>
      <c r="E64" s="12">
        <v>220661185</v>
      </c>
      <c r="F64" s="10">
        <f>E64/(E64+I64)</f>
        <v>0.956242179438345</v>
      </c>
      <c r="G64" s="11">
        <v>52</v>
      </c>
      <c r="H64" s="10">
        <f t="shared" si="11"/>
        <v>0.13299232736572891</v>
      </c>
      <c r="I64" s="12">
        <v>10097497</v>
      </c>
      <c r="J64" s="10">
        <f>I64/(E64+I64)</f>
        <v>4.3757820561654968E-2</v>
      </c>
    </row>
    <row r="65" spans="1:13">
      <c r="A65" s="3" t="s">
        <v>14</v>
      </c>
      <c r="B65" s="6">
        <f>C65+G65</f>
        <v>5704</v>
      </c>
      <c r="C65" s="7">
        <v>1667</v>
      </c>
      <c r="D65" s="8">
        <f t="shared" si="10"/>
        <v>0.29225105189340811</v>
      </c>
      <c r="E65" s="12">
        <v>748273</v>
      </c>
      <c r="F65" s="10">
        <f>E65/(E65+I64)</f>
        <v>6.8992150856970039E-2</v>
      </c>
      <c r="G65" s="11">
        <v>4037</v>
      </c>
      <c r="H65" s="10">
        <f t="shared" si="11"/>
        <v>0.70774894810659184</v>
      </c>
      <c r="I65" s="13">
        <v>449479</v>
      </c>
      <c r="J65" s="10">
        <f>I64/(E65+I64)</f>
        <v>0.93100784914302992</v>
      </c>
      <c r="M65" s="14"/>
    </row>
    <row r="66" spans="1:13" ht="15.75">
      <c r="B66" s="15">
        <f>SUM(B61:B65)</f>
        <v>671030</v>
      </c>
      <c r="C66" s="16">
        <f>SUM(C61:C65)</f>
        <v>87276</v>
      </c>
      <c r="D66" s="17">
        <f t="shared" si="10"/>
        <v>0.130062739370818</v>
      </c>
      <c r="E66" s="18">
        <f>SUM(E61:E65)</f>
        <v>422961534</v>
      </c>
      <c r="F66" s="10">
        <f>E66/(E66+I66)</f>
        <v>0.47838015033414938</v>
      </c>
      <c r="G66" s="18">
        <f>SUM(G61:G65)</f>
        <v>583754</v>
      </c>
      <c r="H66" s="17">
        <f t="shared" si="11"/>
        <v>0.86993726062918197</v>
      </c>
      <c r="I66" s="18">
        <f>I65+I64+I63+I62+I61</f>
        <v>461192070</v>
      </c>
      <c r="J66" s="10">
        <f>I66/(E66+I66)</f>
        <v>0.52161984966585062</v>
      </c>
    </row>
    <row r="67" spans="1:13" ht="15.75">
      <c r="A67" s="1" t="s">
        <v>0</v>
      </c>
      <c r="B67" s="3"/>
      <c r="J67" s="3"/>
    </row>
    <row r="68" spans="1:13" ht="15.75">
      <c r="A68" s="1" t="s">
        <v>20</v>
      </c>
      <c r="B68" s="2">
        <v>2</v>
      </c>
      <c r="C68" s="2" t="s">
        <v>2</v>
      </c>
      <c r="D68" s="2"/>
      <c r="E68" s="2"/>
      <c r="F68" s="2"/>
      <c r="G68" s="2" t="s">
        <v>3</v>
      </c>
      <c r="H68" s="2"/>
      <c r="I68" s="2"/>
      <c r="J68" s="2"/>
    </row>
    <row r="69" spans="1:13">
      <c r="B69" s="4" t="s">
        <v>4</v>
      </c>
      <c r="C69" s="4" t="s">
        <v>5</v>
      </c>
      <c r="D69" s="4"/>
      <c r="E69" s="4" t="s">
        <v>6</v>
      </c>
      <c r="F69" s="5"/>
      <c r="G69" s="4" t="s">
        <v>7</v>
      </c>
      <c r="H69" s="5"/>
      <c r="I69" s="5" t="s">
        <v>6</v>
      </c>
      <c r="J69" s="5"/>
    </row>
    <row r="70" spans="1:13">
      <c r="B70" s="4" t="s">
        <v>8</v>
      </c>
      <c r="C70" s="4" t="s">
        <v>8</v>
      </c>
      <c r="D70" s="4" t="s">
        <v>9</v>
      </c>
      <c r="E70" s="4" t="s">
        <v>8</v>
      </c>
      <c r="F70" s="5" t="s">
        <v>9</v>
      </c>
      <c r="G70" s="5" t="s">
        <v>8</v>
      </c>
      <c r="H70" s="5" t="s">
        <v>9</v>
      </c>
      <c r="I70" s="5" t="s">
        <v>8</v>
      </c>
      <c r="J70" s="5" t="s">
        <v>9</v>
      </c>
    </row>
    <row r="71" spans="1:13">
      <c r="B71" s="4"/>
      <c r="C71" s="4"/>
      <c r="D71" s="4"/>
      <c r="E71" s="4"/>
      <c r="F71" s="4"/>
      <c r="G71" s="4"/>
      <c r="H71" s="4"/>
      <c r="I71" s="4"/>
      <c r="J71" s="4"/>
    </row>
    <row r="72" spans="1:13">
      <c r="A72" s="3" t="s">
        <v>10</v>
      </c>
      <c r="B72" s="6">
        <f>C72+G72</f>
        <v>587791</v>
      </c>
      <c r="C72" s="7">
        <v>60381</v>
      </c>
      <c r="D72" s="8">
        <f t="shared" ref="D72:D77" si="12">C72/B72</f>
        <v>0.10272528841033633</v>
      </c>
      <c r="E72" s="12">
        <v>41080979</v>
      </c>
      <c r="F72" s="10">
        <f>E72/(E72+I72)</f>
        <v>0.11050859953903572</v>
      </c>
      <c r="G72" s="11">
        <v>527410</v>
      </c>
      <c r="H72" s="10">
        <f t="shared" ref="H72:H77" si="13">G72/B72</f>
        <v>0.89727471158966365</v>
      </c>
      <c r="I72" s="12">
        <v>330663656</v>
      </c>
      <c r="J72" s="10">
        <f>I72/(E72+I72)</f>
        <v>0.88949140046096431</v>
      </c>
    </row>
    <row r="73" spans="1:13">
      <c r="A73" s="3" t="s">
        <v>11</v>
      </c>
      <c r="B73" s="6">
        <f>C73+G73</f>
        <v>66181</v>
      </c>
      <c r="C73" s="7">
        <v>19274</v>
      </c>
      <c r="D73" s="8">
        <f t="shared" si="12"/>
        <v>0.29123162236895783</v>
      </c>
      <c r="E73" s="12">
        <v>20016586</v>
      </c>
      <c r="F73" s="10">
        <f>E73/(E73+I73)</f>
        <v>0.31175322601254069</v>
      </c>
      <c r="G73" s="11">
        <v>46907</v>
      </c>
      <c r="H73" s="10">
        <f t="shared" si="13"/>
        <v>0.70876837763104217</v>
      </c>
      <c r="I73" s="12">
        <v>44189922</v>
      </c>
      <c r="J73" s="10">
        <f>I73/(E73+I73)</f>
        <v>0.68824677398745937</v>
      </c>
    </row>
    <row r="74" spans="1:13">
      <c r="A74" s="3" t="s">
        <v>12</v>
      </c>
      <c r="B74" s="6">
        <f>C74+G74</f>
        <v>10864</v>
      </c>
      <c r="C74" s="7">
        <v>6167</v>
      </c>
      <c r="D74" s="8">
        <f t="shared" si="12"/>
        <v>0.56765463917525771</v>
      </c>
      <c r="E74" s="12">
        <v>138753601</v>
      </c>
      <c r="F74" s="10">
        <f>E74/(E74+I74)</f>
        <v>0.71156497801200769</v>
      </c>
      <c r="G74" s="11">
        <v>4697</v>
      </c>
      <c r="H74" s="10">
        <f t="shared" si="13"/>
        <v>0.43234536082474229</v>
      </c>
      <c r="I74" s="12">
        <v>56244193</v>
      </c>
      <c r="J74" s="10">
        <f>I74/(E74+I74)</f>
        <v>0.28843502198799231</v>
      </c>
    </row>
    <row r="75" spans="1:13">
      <c r="A75" s="3" t="s">
        <v>13</v>
      </c>
      <c r="B75" s="6">
        <f>C75+G75</f>
        <v>397</v>
      </c>
      <c r="C75" s="7">
        <v>345</v>
      </c>
      <c r="D75" s="8">
        <f t="shared" si="12"/>
        <v>0.86901763224181361</v>
      </c>
      <c r="E75" s="12">
        <v>203231593</v>
      </c>
      <c r="F75" s="10">
        <f>E75/(E75+I75)</f>
        <v>0.97205908073586422</v>
      </c>
      <c r="G75" s="11">
        <v>52</v>
      </c>
      <c r="H75" s="10">
        <f t="shared" si="13"/>
        <v>0.13098236775818639</v>
      </c>
      <c r="I75" s="12">
        <v>5841700</v>
      </c>
      <c r="J75" s="10">
        <f>I75/(E75+I75)</f>
        <v>2.794091926413576E-2</v>
      </c>
    </row>
    <row r="76" spans="1:13">
      <c r="A76" s="3" t="s">
        <v>14</v>
      </c>
      <c r="B76" s="6">
        <f>C76+G76</f>
        <v>5716</v>
      </c>
      <c r="C76" s="7">
        <v>1676</v>
      </c>
      <c r="D76" s="8">
        <f t="shared" si="12"/>
        <v>0.29321203638908327</v>
      </c>
      <c r="E76" s="12">
        <v>675507</v>
      </c>
      <c r="F76" s="10">
        <f>E76/(E76+I75)</f>
        <v>0.10364976898846393</v>
      </c>
      <c r="G76" s="11">
        <v>4040</v>
      </c>
      <c r="H76" s="10">
        <f t="shared" si="13"/>
        <v>0.70678796361091667</v>
      </c>
      <c r="I76" s="13">
        <v>417568</v>
      </c>
      <c r="J76" s="10">
        <f>I75/(E76+I75)</f>
        <v>0.8963502310115361</v>
      </c>
      <c r="M76" s="14"/>
    </row>
    <row r="77" spans="1:13" ht="15.75">
      <c r="B77" s="15">
        <f>SUM(B72:B76)</f>
        <v>670949</v>
      </c>
      <c r="C77" s="16">
        <f>SUM(C72:C76)</f>
        <v>87843</v>
      </c>
      <c r="D77" s="17">
        <f t="shared" si="12"/>
        <v>0.13092351281543008</v>
      </c>
      <c r="E77" s="18">
        <f>SUM(E72:E76)</f>
        <v>403758266</v>
      </c>
      <c r="F77" s="10">
        <f>E77/(E77+I77)</f>
        <v>0.48002724905832023</v>
      </c>
      <c r="G77" s="18">
        <f>SUM(G72:G76)</f>
        <v>583106</v>
      </c>
      <c r="H77" s="17">
        <f t="shared" si="13"/>
        <v>0.86907648718456987</v>
      </c>
      <c r="I77" s="18">
        <f>I76+I75+I74+I73+I72</f>
        <v>437357039</v>
      </c>
      <c r="J77" s="10">
        <f>I77/(E77+I77)</f>
        <v>0.51997275094167972</v>
      </c>
    </row>
    <row r="78" spans="1:13" ht="15.75">
      <c r="A78" s="1" t="s">
        <v>0</v>
      </c>
      <c r="B78" s="3"/>
      <c r="J78" s="3"/>
    </row>
    <row r="79" spans="1:13" ht="15.75">
      <c r="A79" s="1" t="s">
        <v>21</v>
      </c>
      <c r="B79" s="2">
        <v>2</v>
      </c>
      <c r="C79" s="2" t="s">
        <v>2</v>
      </c>
      <c r="D79" s="2"/>
      <c r="E79" s="2"/>
      <c r="F79" s="2"/>
      <c r="G79" s="2" t="s">
        <v>3</v>
      </c>
      <c r="H79" s="2"/>
      <c r="I79" s="2"/>
      <c r="J79" s="2"/>
    </row>
    <row r="80" spans="1:13">
      <c r="B80" s="4" t="s">
        <v>4</v>
      </c>
      <c r="C80" s="4" t="s">
        <v>5</v>
      </c>
      <c r="D80" s="4"/>
      <c r="E80" s="4" t="s">
        <v>6</v>
      </c>
      <c r="F80" s="5"/>
      <c r="G80" s="4" t="s">
        <v>7</v>
      </c>
      <c r="H80" s="5"/>
      <c r="I80" s="5" t="s">
        <v>6</v>
      </c>
      <c r="J80" s="5"/>
    </row>
    <row r="81" spans="1:13">
      <c r="B81" s="4" t="s">
        <v>8</v>
      </c>
      <c r="C81" s="4" t="s">
        <v>8</v>
      </c>
      <c r="D81" s="4" t="s">
        <v>9</v>
      </c>
      <c r="E81" s="4" t="s">
        <v>8</v>
      </c>
      <c r="F81" s="5" t="s">
        <v>9</v>
      </c>
      <c r="G81" s="5" t="s">
        <v>8</v>
      </c>
      <c r="H81" s="5" t="s">
        <v>9</v>
      </c>
      <c r="I81" s="5" t="s">
        <v>8</v>
      </c>
      <c r="J81" s="5" t="s">
        <v>9</v>
      </c>
    </row>
    <row r="82" spans="1:13">
      <c r="B82" s="4"/>
      <c r="C82" s="4"/>
      <c r="D82" s="4"/>
      <c r="E82" s="4"/>
      <c r="F82" s="4"/>
      <c r="G82" s="4"/>
      <c r="H82" s="4"/>
      <c r="I82" s="4"/>
      <c r="J82" s="4"/>
    </row>
    <row r="83" spans="1:13">
      <c r="A83" s="3" t="s">
        <v>10</v>
      </c>
      <c r="B83" s="6">
        <f>C83+G83</f>
        <v>560879</v>
      </c>
      <c r="C83" s="7">
        <v>57774</v>
      </c>
      <c r="D83" s="8">
        <f t="shared" ref="D83:D88" si="14">C83/B83</f>
        <v>0.10300617423722407</v>
      </c>
      <c r="E83" s="12">
        <v>32458812</v>
      </c>
      <c r="F83" s="10">
        <f>E83/(E83+I83)</f>
        <v>0.11222733451538697</v>
      </c>
      <c r="G83" s="11">
        <v>503105</v>
      </c>
      <c r="H83" s="10">
        <f t="shared" ref="H83:H88" si="15">G83/B83</f>
        <v>0.89699382576277598</v>
      </c>
      <c r="I83" s="12">
        <v>256764951</v>
      </c>
      <c r="J83" s="10">
        <f>I83/(E83+I83)</f>
        <v>0.88777266548461309</v>
      </c>
    </row>
    <row r="84" spans="1:13">
      <c r="A84" s="3" t="s">
        <v>11</v>
      </c>
      <c r="B84" s="6">
        <f>C84+G84</f>
        <v>62832</v>
      </c>
      <c r="C84" s="7">
        <v>18397</v>
      </c>
      <c r="D84" s="8">
        <f t="shared" si="14"/>
        <v>0.29279666412019351</v>
      </c>
      <c r="E84" s="12">
        <v>17319150</v>
      </c>
      <c r="F84" s="10">
        <f>E84/(E84+I84)</f>
        <v>0.32692299996549395</v>
      </c>
      <c r="G84" s="11">
        <v>44435</v>
      </c>
      <c r="H84" s="10">
        <f t="shared" si="15"/>
        <v>0.70720333587980644</v>
      </c>
      <c r="I84" s="12">
        <v>35657086</v>
      </c>
      <c r="J84" s="10">
        <f>I84/(E84+I84)</f>
        <v>0.67307700003450599</v>
      </c>
    </row>
    <row r="85" spans="1:13">
      <c r="A85" s="3" t="s">
        <v>12</v>
      </c>
      <c r="B85" s="6">
        <f>C85+G85</f>
        <v>10174</v>
      </c>
      <c r="C85" s="7">
        <v>5826</v>
      </c>
      <c r="D85" s="8">
        <f t="shared" si="14"/>
        <v>0.57263613131511693</v>
      </c>
      <c r="E85" s="12">
        <v>122313251</v>
      </c>
      <c r="F85" s="10">
        <f>E85/(E85+I85)</f>
        <v>0.73020286157170033</v>
      </c>
      <c r="G85" s="11">
        <v>4348</v>
      </c>
      <c r="H85" s="10">
        <f t="shared" si="15"/>
        <v>0.42736386868488302</v>
      </c>
      <c r="I85" s="12">
        <v>45192599</v>
      </c>
      <c r="J85" s="10">
        <f>I85/(E85+I85)</f>
        <v>0.26979713842829967</v>
      </c>
    </row>
    <row r="86" spans="1:13">
      <c r="A86" s="3" t="s">
        <v>13</v>
      </c>
      <c r="B86" s="6">
        <f>C86+G86</f>
        <v>347</v>
      </c>
      <c r="C86" s="7">
        <v>305</v>
      </c>
      <c r="D86" s="8">
        <f t="shared" si="14"/>
        <v>0.87896253602305474</v>
      </c>
      <c r="E86" s="12">
        <v>184694079</v>
      </c>
      <c r="F86" s="10">
        <f>E86/(E86+I86)</f>
        <v>0.96568228958554025</v>
      </c>
      <c r="G86" s="11">
        <v>42</v>
      </c>
      <c r="H86" s="10">
        <f t="shared" si="15"/>
        <v>0.12103746397694524</v>
      </c>
      <c r="I86" s="12">
        <v>6563523</v>
      </c>
      <c r="J86" s="10">
        <f>I86/(E86+I86)</f>
        <v>3.4317710414459759E-2</v>
      </c>
    </row>
    <row r="87" spans="1:13">
      <c r="A87" s="3" t="s">
        <v>14</v>
      </c>
      <c r="B87" s="6">
        <f>C87+G87</f>
        <v>5476</v>
      </c>
      <c r="C87" s="7">
        <v>1590</v>
      </c>
      <c r="D87" s="8">
        <f t="shared" si="14"/>
        <v>0.29035792549306061</v>
      </c>
      <c r="E87" s="12">
        <v>673454</v>
      </c>
      <c r="F87" s="10">
        <f>E87/(E87+I86)</f>
        <v>9.305736359256081E-2</v>
      </c>
      <c r="G87" s="11">
        <v>3886</v>
      </c>
      <c r="H87" s="10">
        <f t="shared" si="15"/>
        <v>0.70964207450693939</v>
      </c>
      <c r="I87" s="13">
        <v>449387</v>
      </c>
      <c r="J87" s="10">
        <f>I86/(E87+I86)</f>
        <v>0.90694263640743922</v>
      </c>
      <c r="M87" s="14"/>
    </row>
    <row r="88" spans="1:13" ht="15.75">
      <c r="B88" s="15">
        <f>SUM(B83:B87)</f>
        <v>639708</v>
      </c>
      <c r="C88" s="16">
        <f>SUM(C83:C87)</f>
        <v>83892</v>
      </c>
      <c r="D88" s="17">
        <f t="shared" si="14"/>
        <v>0.13114108311917314</v>
      </c>
      <c r="E88" s="18">
        <f>SUM(E83:E87)</f>
        <v>357458746</v>
      </c>
      <c r="F88" s="10">
        <f>E88/(E88+I88)</f>
        <v>0.50913790807925363</v>
      </c>
      <c r="G88" s="18">
        <f>SUM(G83:G87)</f>
        <v>555816</v>
      </c>
      <c r="H88" s="17">
        <f t="shared" si="15"/>
        <v>0.86885891688082684</v>
      </c>
      <c r="I88" s="18">
        <f>I87+I86+I85+I84+I83</f>
        <v>344627546</v>
      </c>
      <c r="J88" s="10">
        <f>I88/(E88+I88)</f>
        <v>0.49086209192074642</v>
      </c>
    </row>
    <row r="89" spans="1:13" ht="15.75">
      <c r="A89" s="1" t="s">
        <v>0</v>
      </c>
      <c r="B89" s="3"/>
      <c r="J89" s="3"/>
    </row>
    <row r="90" spans="1:13" ht="15.75">
      <c r="A90" s="1" t="s">
        <v>22</v>
      </c>
      <c r="B90" s="2">
        <v>2</v>
      </c>
      <c r="C90" s="2" t="s">
        <v>2</v>
      </c>
      <c r="D90" s="2"/>
      <c r="E90" s="2"/>
      <c r="F90" s="2"/>
      <c r="G90" s="2" t="s">
        <v>3</v>
      </c>
      <c r="H90" s="2"/>
      <c r="I90" s="2"/>
      <c r="J90" s="2"/>
    </row>
    <row r="91" spans="1:13">
      <c r="B91" s="4" t="s">
        <v>4</v>
      </c>
      <c r="C91" s="4" t="s">
        <v>5</v>
      </c>
      <c r="D91" s="4"/>
      <c r="E91" s="4" t="s">
        <v>6</v>
      </c>
      <c r="F91" s="5"/>
      <c r="G91" s="4" t="s">
        <v>7</v>
      </c>
      <c r="H91" s="5"/>
      <c r="I91" s="5" t="s">
        <v>6</v>
      </c>
      <c r="J91" s="5"/>
    </row>
    <row r="92" spans="1:13">
      <c r="B92" s="4" t="s">
        <v>8</v>
      </c>
      <c r="C92" s="4" t="s">
        <v>8</v>
      </c>
      <c r="D92" s="4" t="s">
        <v>9</v>
      </c>
      <c r="E92" s="4" t="s">
        <v>8</v>
      </c>
      <c r="F92" s="5" t="s">
        <v>9</v>
      </c>
      <c r="G92" s="5" t="s">
        <v>8</v>
      </c>
      <c r="H92" s="5" t="s">
        <v>9</v>
      </c>
      <c r="I92" s="5" t="s">
        <v>8</v>
      </c>
      <c r="J92" s="5" t="s">
        <v>9</v>
      </c>
    </row>
    <row r="93" spans="1:13">
      <c r="B93" s="4"/>
      <c r="C93" s="4"/>
      <c r="D93" s="4"/>
      <c r="E93" s="4"/>
      <c r="F93" s="4"/>
      <c r="G93" s="4"/>
      <c r="H93" s="4"/>
      <c r="I93" s="4"/>
      <c r="J93" s="4"/>
    </row>
    <row r="94" spans="1:13">
      <c r="A94" s="3" t="s">
        <v>10</v>
      </c>
      <c r="B94" s="6">
        <f>C94+G94</f>
        <v>586896</v>
      </c>
      <c r="C94" s="7">
        <v>60415</v>
      </c>
      <c r="D94" s="8">
        <f t="shared" ref="D94:D99" si="16">C94/B94</f>
        <v>0.10293987350399389</v>
      </c>
      <c r="E94" s="12">
        <v>31469125</v>
      </c>
      <c r="F94" s="10">
        <f>E94/(E94+I94)</f>
        <v>0.11057695953284472</v>
      </c>
      <c r="G94" s="11">
        <v>526481</v>
      </c>
      <c r="H94" s="10">
        <f t="shared" ref="H94:H99" si="17">G94/B94</f>
        <v>0.89706012649600608</v>
      </c>
      <c r="I94" s="12">
        <v>253121129</v>
      </c>
      <c r="J94" s="10">
        <f>I94/(E94+I94)</f>
        <v>0.88942304046715526</v>
      </c>
    </row>
    <row r="95" spans="1:13">
      <c r="A95" s="3" t="s">
        <v>11</v>
      </c>
      <c r="B95" s="6">
        <f>C95+G95</f>
        <v>65736</v>
      </c>
      <c r="C95" s="7">
        <v>19244</v>
      </c>
      <c r="D95" s="8">
        <f t="shared" si="16"/>
        <v>0.29274674455397348</v>
      </c>
      <c r="E95" s="12">
        <v>16567790</v>
      </c>
      <c r="F95" s="10">
        <f>E95/(E95+I95)</f>
        <v>0.33318415471266888</v>
      </c>
      <c r="G95" s="11">
        <v>46492</v>
      </c>
      <c r="H95" s="10">
        <f t="shared" si="17"/>
        <v>0.70725325544602657</v>
      </c>
      <c r="I95" s="12">
        <v>33157834</v>
      </c>
      <c r="J95" s="10">
        <f>I95/(E95+I95)</f>
        <v>0.66681584528733118</v>
      </c>
    </row>
    <row r="96" spans="1:13">
      <c r="A96" s="3" t="s">
        <v>12</v>
      </c>
      <c r="B96" s="6">
        <f>C96+G96</f>
        <v>10897</v>
      </c>
      <c r="C96" s="7">
        <v>6205</v>
      </c>
      <c r="D96" s="8">
        <f t="shared" si="16"/>
        <v>0.56942277691107646</v>
      </c>
      <c r="E96" s="12">
        <v>112308251</v>
      </c>
      <c r="F96" s="10">
        <f>E96/(E96+I96)</f>
        <v>0.73563332445834773</v>
      </c>
      <c r="G96" s="11">
        <v>4692</v>
      </c>
      <c r="H96" s="10">
        <f t="shared" si="17"/>
        <v>0.43057722308892354</v>
      </c>
      <c r="I96" s="12">
        <v>40360541</v>
      </c>
      <c r="J96" s="10">
        <f>I96/(E96+I96)</f>
        <v>0.26436667554165227</v>
      </c>
    </row>
    <row r="97" spans="1:13">
      <c r="A97" s="3" t="s">
        <v>13</v>
      </c>
      <c r="B97" s="6">
        <f>C97+G97</f>
        <v>400</v>
      </c>
      <c r="C97" s="7">
        <v>347</v>
      </c>
      <c r="D97" s="8">
        <f t="shared" si="16"/>
        <v>0.86750000000000005</v>
      </c>
      <c r="E97" s="12">
        <v>209660975</v>
      </c>
      <c r="F97" s="10">
        <f>E97/(E97+I97)</f>
        <v>0.96504669239747387</v>
      </c>
      <c r="G97" s="11">
        <v>53</v>
      </c>
      <c r="H97" s="10">
        <f t="shared" si="17"/>
        <v>0.13250000000000001</v>
      </c>
      <c r="I97" s="12">
        <v>7593772</v>
      </c>
      <c r="J97" s="10">
        <f>I97/(E97+I97)</f>
        <v>3.4953307602526171E-2</v>
      </c>
    </row>
    <row r="98" spans="1:13">
      <c r="A98" s="3" t="s">
        <v>14</v>
      </c>
      <c r="B98" s="6">
        <f>C98+G98</f>
        <v>5727</v>
      </c>
      <c r="C98" s="7">
        <v>1674</v>
      </c>
      <c r="D98" s="8">
        <f t="shared" si="16"/>
        <v>0.29229963331587216</v>
      </c>
      <c r="E98" s="12">
        <v>762333</v>
      </c>
      <c r="F98" s="10">
        <f>E98/(E98+I97)</f>
        <v>9.1230663090040159E-2</v>
      </c>
      <c r="G98" s="11">
        <v>4053</v>
      </c>
      <c r="H98" s="10">
        <f t="shared" si="17"/>
        <v>0.70770036668412784</v>
      </c>
      <c r="I98" s="13">
        <v>493018</v>
      </c>
      <c r="J98" s="10">
        <f>I97/(E98+I97)</f>
        <v>0.90876933690995987</v>
      </c>
      <c r="M98" s="14"/>
    </row>
    <row r="99" spans="1:13" ht="15.75">
      <c r="B99" s="15">
        <f>SUM(B94:B98)</f>
        <v>669656</v>
      </c>
      <c r="C99" s="16">
        <f>SUM(C94:C98)</f>
        <v>87885</v>
      </c>
      <c r="D99" s="17">
        <f t="shared" si="16"/>
        <v>0.13123902421541805</v>
      </c>
      <c r="E99" s="18">
        <f>SUM(E94:E98)</f>
        <v>370768474</v>
      </c>
      <c r="F99" s="10">
        <f>E99/(E99+I99)</f>
        <v>0.52554390311226229</v>
      </c>
      <c r="G99" s="18">
        <f>SUM(G94:G98)</f>
        <v>581771</v>
      </c>
      <c r="H99" s="17">
        <f t="shared" si="17"/>
        <v>0.86876097578458189</v>
      </c>
      <c r="I99" s="18">
        <f>I98+I97+I96+I95+I94</f>
        <v>334726294</v>
      </c>
      <c r="J99" s="10">
        <f>I99/(E99+I99)</f>
        <v>0.47445609688773765</v>
      </c>
    </row>
    <row r="100" spans="1:13" ht="15.75">
      <c r="A100" s="1" t="s">
        <v>0</v>
      </c>
      <c r="B100" s="3"/>
      <c r="J100" s="3"/>
    </row>
    <row r="101" spans="1:13" ht="15.75">
      <c r="A101" s="1" t="s">
        <v>23</v>
      </c>
      <c r="B101" s="2">
        <v>2</v>
      </c>
      <c r="C101" s="2" t="s">
        <v>2</v>
      </c>
      <c r="D101" s="2"/>
      <c r="E101" s="2"/>
      <c r="F101" s="2"/>
      <c r="G101" s="2" t="s">
        <v>3</v>
      </c>
      <c r="H101" s="2"/>
      <c r="I101" s="2"/>
      <c r="J101" s="2"/>
    </row>
    <row r="102" spans="1:13">
      <c r="B102" s="4" t="s">
        <v>4</v>
      </c>
      <c r="C102" s="4" t="s">
        <v>5</v>
      </c>
      <c r="D102" s="4"/>
      <c r="E102" s="4" t="s">
        <v>6</v>
      </c>
      <c r="F102" s="5"/>
      <c r="G102" s="4" t="s">
        <v>7</v>
      </c>
      <c r="H102" s="5"/>
      <c r="I102" s="5" t="s">
        <v>6</v>
      </c>
      <c r="J102" s="5"/>
    </row>
    <row r="103" spans="1:13">
      <c r="B103" s="4" t="s">
        <v>8</v>
      </c>
      <c r="C103" s="4" t="s">
        <v>8</v>
      </c>
      <c r="D103" s="4" t="s">
        <v>9</v>
      </c>
      <c r="E103" s="4" t="s">
        <v>8</v>
      </c>
      <c r="F103" s="5" t="s">
        <v>9</v>
      </c>
      <c r="G103" s="5" t="s">
        <v>8</v>
      </c>
      <c r="H103" s="5" t="s">
        <v>9</v>
      </c>
      <c r="I103" s="5" t="s">
        <v>8</v>
      </c>
      <c r="J103" s="5" t="s">
        <v>9</v>
      </c>
    </row>
    <row r="104" spans="1:13">
      <c r="B104" s="4"/>
      <c r="C104" s="4"/>
      <c r="D104" s="4"/>
      <c r="E104" s="4"/>
      <c r="F104" s="4"/>
      <c r="G104" s="4"/>
      <c r="H104" s="4"/>
      <c r="I104" s="4"/>
      <c r="J104" s="4"/>
    </row>
    <row r="105" spans="1:13">
      <c r="A105" s="3" t="s">
        <v>10</v>
      </c>
      <c r="B105" s="6">
        <f>C105+G105</f>
        <v>586224</v>
      </c>
      <c r="C105" s="7">
        <v>60349</v>
      </c>
      <c r="D105" s="8">
        <f t="shared" ref="D105:D110" si="18">C105/B105</f>
        <v>0.10294529053740549</v>
      </c>
      <c r="E105" s="12">
        <v>34446345</v>
      </c>
      <c r="F105" s="10">
        <f>E105/(E105+I105)</f>
        <v>0.1082235090355687</v>
      </c>
      <c r="G105" s="11">
        <v>525875</v>
      </c>
      <c r="H105" s="10">
        <f t="shared" ref="H105:H110" si="19">G105/B105</f>
        <v>0.89705470946259447</v>
      </c>
      <c r="I105" s="12">
        <v>283842586</v>
      </c>
      <c r="J105" s="10">
        <f>I105/(E105+I105)</f>
        <v>0.89177649096443135</v>
      </c>
    </row>
    <row r="106" spans="1:13">
      <c r="A106" s="3" t="s">
        <v>11</v>
      </c>
      <c r="B106" s="6">
        <f>C106+G106</f>
        <v>65572</v>
      </c>
      <c r="C106" s="7">
        <v>19108</v>
      </c>
      <c r="D106" s="8">
        <f t="shared" si="18"/>
        <v>0.29140486793143416</v>
      </c>
      <c r="E106" s="12">
        <v>17469960</v>
      </c>
      <c r="F106" s="10">
        <f>E106/(E106+I106)</f>
        <v>0.32353427802595708</v>
      </c>
      <c r="G106" s="11">
        <v>46464</v>
      </c>
      <c r="H106" s="10">
        <f t="shared" si="19"/>
        <v>0.70859513206856584</v>
      </c>
      <c r="I106" s="12">
        <v>36527286</v>
      </c>
      <c r="J106" s="10">
        <f>I106/(E106+I106)</f>
        <v>0.67646572197404287</v>
      </c>
    </row>
    <row r="107" spans="1:13">
      <c r="A107" s="3" t="s">
        <v>12</v>
      </c>
      <c r="B107" s="6">
        <f>C107+G107</f>
        <v>10877</v>
      </c>
      <c r="C107" s="7">
        <v>6182</v>
      </c>
      <c r="D107" s="8">
        <f t="shared" si="18"/>
        <v>0.56835524501241153</v>
      </c>
      <c r="E107" s="12">
        <v>113356847</v>
      </c>
      <c r="F107" s="10">
        <f>E107/(E107+I107)</f>
        <v>0.73251115543550094</v>
      </c>
      <c r="G107" s="11">
        <v>4695</v>
      </c>
      <c r="H107" s="10">
        <f t="shared" si="19"/>
        <v>0.43164475498758847</v>
      </c>
      <c r="I107" s="12">
        <v>41394171</v>
      </c>
      <c r="J107" s="10">
        <f>I107/(E107+I107)</f>
        <v>0.26748884456449906</v>
      </c>
    </row>
    <row r="108" spans="1:13">
      <c r="A108" s="3" t="s">
        <v>13</v>
      </c>
      <c r="B108" s="6">
        <f>C108+G108</f>
        <v>400</v>
      </c>
      <c r="C108" s="7">
        <v>346</v>
      </c>
      <c r="D108" s="8">
        <f t="shared" si="18"/>
        <v>0.86499999999999999</v>
      </c>
      <c r="E108" s="12">
        <v>170998667</v>
      </c>
      <c r="F108" s="10">
        <f>E108/(E108+I108)</f>
        <v>0.97306791066003806</v>
      </c>
      <c r="G108" s="11">
        <v>54</v>
      </c>
      <c r="H108" s="10">
        <f t="shared" si="19"/>
        <v>0.13500000000000001</v>
      </c>
      <c r="I108" s="12">
        <v>4732816</v>
      </c>
      <c r="J108" s="10">
        <f>I108/(E108+I108)</f>
        <v>2.6932089339961923E-2</v>
      </c>
    </row>
    <row r="109" spans="1:13">
      <c r="A109" s="3" t="s">
        <v>14</v>
      </c>
      <c r="B109" s="6">
        <f>C109+G109</f>
        <v>5729</v>
      </c>
      <c r="C109" s="7">
        <v>1673</v>
      </c>
      <c r="D109" s="8">
        <f t="shared" si="18"/>
        <v>0.29202304067027407</v>
      </c>
      <c r="E109" s="12">
        <v>829731</v>
      </c>
      <c r="F109" s="10">
        <f>E109/(E109+I108)</f>
        <v>0.14916386324466113</v>
      </c>
      <c r="G109" s="11">
        <v>4056</v>
      </c>
      <c r="H109" s="10">
        <f t="shared" si="19"/>
        <v>0.70797695932972593</v>
      </c>
      <c r="I109" s="13">
        <v>561675</v>
      </c>
      <c r="J109" s="10">
        <f>I108/(E109+I108)</f>
        <v>0.85083613675533887</v>
      </c>
      <c r="M109" s="14"/>
    </row>
    <row r="110" spans="1:13" ht="15.75">
      <c r="B110" s="15">
        <f>SUM(B105:B109)</f>
        <v>668802</v>
      </c>
      <c r="C110" s="16">
        <f>SUM(C105:C109)</f>
        <v>87658</v>
      </c>
      <c r="D110" s="17">
        <f t="shared" si="18"/>
        <v>0.13106719178471357</v>
      </c>
      <c r="E110" s="18">
        <f>SUM(E105:E109)</f>
        <v>337101550</v>
      </c>
      <c r="F110" s="10" t="e">
        <f>E110/(E110+I110)</f>
        <v>#VALUE!</v>
      </c>
      <c r="G110" s="18">
        <f>SUM(G105:G109)</f>
        <v>581144</v>
      </c>
      <c r="H110" s="17">
        <f t="shared" si="19"/>
        <v>0.8689328082152864</v>
      </c>
      <c r="I110" s="18" t="s">
        <v>24</v>
      </c>
      <c r="J110" s="10" t="e">
        <f>I110/(E110+I110)</f>
        <v>#VALUE!</v>
      </c>
    </row>
    <row r="111" spans="1:13" ht="15.75">
      <c r="A111" s="1" t="s">
        <v>0</v>
      </c>
      <c r="B111" s="3"/>
      <c r="J111" s="3"/>
    </row>
    <row r="112" spans="1:13" ht="15.75">
      <c r="A112" s="1" t="s">
        <v>25</v>
      </c>
      <c r="B112" s="2">
        <v>2</v>
      </c>
      <c r="C112" s="2" t="s">
        <v>2</v>
      </c>
      <c r="D112" s="2"/>
      <c r="E112" s="2"/>
      <c r="F112" s="2"/>
      <c r="G112" s="2" t="s">
        <v>3</v>
      </c>
      <c r="H112" s="2"/>
      <c r="I112" s="2"/>
      <c r="J112" s="2"/>
    </row>
    <row r="113" spans="1:13">
      <c r="B113" s="4" t="s">
        <v>4</v>
      </c>
      <c r="C113" s="4" t="s">
        <v>5</v>
      </c>
      <c r="D113" s="4"/>
      <c r="E113" s="4" t="s">
        <v>6</v>
      </c>
      <c r="F113" s="5"/>
      <c r="G113" s="4" t="s">
        <v>7</v>
      </c>
      <c r="H113" s="5"/>
      <c r="I113" s="5" t="s">
        <v>6</v>
      </c>
      <c r="J113" s="5"/>
    </row>
    <row r="114" spans="1:13">
      <c r="B114" s="4" t="s">
        <v>8</v>
      </c>
      <c r="C114" s="4" t="s">
        <v>8</v>
      </c>
      <c r="D114" s="4" t="s">
        <v>9</v>
      </c>
      <c r="E114" s="4" t="s">
        <v>8</v>
      </c>
      <c r="F114" s="5" t="s">
        <v>9</v>
      </c>
      <c r="G114" s="5" t="s">
        <v>8</v>
      </c>
      <c r="H114" s="5" t="s">
        <v>9</v>
      </c>
      <c r="I114" s="5" t="s">
        <v>8</v>
      </c>
      <c r="J114" s="5" t="s">
        <v>9</v>
      </c>
    </row>
    <row r="115" spans="1:13">
      <c r="B115" s="4"/>
      <c r="C115" s="4"/>
      <c r="D115" s="4"/>
      <c r="E115" s="4"/>
      <c r="F115" s="4"/>
      <c r="G115" s="4"/>
      <c r="H115" s="4"/>
      <c r="I115" s="4"/>
      <c r="J115" s="4"/>
    </row>
    <row r="116" spans="1:13">
      <c r="A116" s="3" t="s">
        <v>10</v>
      </c>
      <c r="B116" s="6">
        <f>C116+G116</f>
        <v>582353</v>
      </c>
      <c r="C116" s="7">
        <v>60601</v>
      </c>
      <c r="D116" s="8">
        <f t="shared" ref="D116:D121" si="20">C116/B116</f>
        <v>0.10406231272097852</v>
      </c>
      <c r="E116" s="12">
        <v>39688698</v>
      </c>
      <c r="F116" s="10">
        <f>E116/(E116+I116)</f>
        <v>0.10911987160813506</v>
      </c>
      <c r="G116" s="11">
        <v>521752</v>
      </c>
      <c r="H116" s="10">
        <f t="shared" ref="H116:H121" si="21">G116/B116</f>
        <v>0.89593768727902146</v>
      </c>
      <c r="I116" s="12">
        <v>324027804</v>
      </c>
      <c r="J116" s="10">
        <f>I116/(E116+I116)</f>
        <v>0.89088012839186492</v>
      </c>
    </row>
    <row r="117" spans="1:13">
      <c r="A117" s="3" t="s">
        <v>11</v>
      </c>
      <c r="B117" s="6">
        <f>C117+G117</f>
        <v>65093</v>
      </c>
      <c r="C117" s="7">
        <v>18931</v>
      </c>
      <c r="D117" s="8">
        <f t="shared" si="20"/>
        <v>0.29083004316900435</v>
      </c>
      <c r="E117" s="12">
        <v>18934909</v>
      </c>
      <c r="F117" s="10">
        <f>E117/(E117+I117)</f>
        <v>0.31999275141533889</v>
      </c>
      <c r="G117" s="11">
        <v>46162</v>
      </c>
      <c r="H117" s="10">
        <f t="shared" si="21"/>
        <v>0.70916995683099571</v>
      </c>
      <c r="I117" s="12">
        <v>40238022</v>
      </c>
      <c r="J117" s="10">
        <f>I117/(E117+I117)</f>
        <v>0.68000724858466111</v>
      </c>
    </row>
    <row r="118" spans="1:13">
      <c r="A118" s="3" t="s">
        <v>12</v>
      </c>
      <c r="B118" s="6">
        <f>C118+G118</f>
        <v>10801</v>
      </c>
      <c r="C118" s="7">
        <v>6114</v>
      </c>
      <c r="D118" s="8">
        <f t="shared" si="20"/>
        <v>0.56605869826867883</v>
      </c>
      <c r="E118" s="12">
        <v>117458156</v>
      </c>
      <c r="F118" s="10">
        <f>E118/(E118+I118)</f>
        <v>0.72532630995333514</v>
      </c>
      <c r="G118" s="11">
        <v>4687</v>
      </c>
      <c r="H118" s="10">
        <f t="shared" si="21"/>
        <v>0.43394130173132117</v>
      </c>
      <c r="I118" s="12">
        <v>44480208</v>
      </c>
      <c r="J118" s="10">
        <f>I118/(E118+I118)</f>
        <v>0.27467369004666492</v>
      </c>
    </row>
    <row r="119" spans="1:13">
      <c r="A119" s="3" t="s">
        <v>13</v>
      </c>
      <c r="B119" s="6">
        <f>C119+G119</f>
        <v>384</v>
      </c>
      <c r="C119" s="7">
        <v>333</v>
      </c>
      <c r="D119" s="8">
        <f t="shared" si="20"/>
        <v>0.8671875</v>
      </c>
      <c r="E119" s="12">
        <v>178932487</v>
      </c>
      <c r="F119" s="10">
        <f>E119/(E119+I119)</f>
        <v>0.97533617696775166</v>
      </c>
      <c r="G119" s="11">
        <v>51</v>
      </c>
      <c r="H119" s="10">
        <f t="shared" si="21"/>
        <v>0.1328125</v>
      </c>
      <c r="I119" s="12">
        <v>4524757</v>
      </c>
      <c r="J119" s="10">
        <f>I119/(E119+I119)</f>
        <v>2.466382303224832E-2</v>
      </c>
    </row>
    <row r="120" spans="1:13">
      <c r="A120" s="3" t="s">
        <v>14</v>
      </c>
      <c r="B120" s="6">
        <f>C120+G120</f>
        <v>5709</v>
      </c>
      <c r="C120" s="7">
        <v>1658</v>
      </c>
      <c r="D120" s="8">
        <f t="shared" si="20"/>
        <v>0.2904186372394465</v>
      </c>
      <c r="E120" s="12">
        <v>932349</v>
      </c>
      <c r="F120" s="10">
        <f>E120/(E120+I119)</f>
        <v>0.17085044710511396</v>
      </c>
      <c r="G120" s="11">
        <v>4051</v>
      </c>
      <c r="H120" s="10">
        <f t="shared" si="21"/>
        <v>0.7095813627605535</v>
      </c>
      <c r="I120" s="13">
        <v>638670</v>
      </c>
      <c r="J120" s="10">
        <f>I119/(E120+I119)</f>
        <v>0.82914955289488601</v>
      </c>
      <c r="M120" s="14"/>
    </row>
    <row r="121" spans="1:13" ht="15.75">
      <c r="B121" s="15">
        <f>SUM(B116:B120)</f>
        <v>664340</v>
      </c>
      <c r="C121" s="16">
        <f>SUM(C116:C120)</f>
        <v>87637</v>
      </c>
      <c r="D121" s="17">
        <f t="shared" si="20"/>
        <v>0.13191588644368848</v>
      </c>
      <c r="E121" s="18">
        <f>SUM(E116:E120)</f>
        <v>355946599</v>
      </c>
      <c r="F121" s="10">
        <f>E121/(E121+I121)</f>
        <v>0.46235474070308674</v>
      </c>
      <c r="G121" s="18">
        <f>SUM(G116:G120)</f>
        <v>576703</v>
      </c>
      <c r="H121" s="17">
        <f t="shared" si="21"/>
        <v>0.86808411355631154</v>
      </c>
      <c r="I121" s="18">
        <f>SUM(I116:I120)</f>
        <v>413909461</v>
      </c>
      <c r="J121" s="10">
        <f>I121/(E121+I121)</f>
        <v>0.5376452592969132</v>
      </c>
    </row>
    <row r="122" spans="1:13" ht="15.75">
      <c r="A122" s="1" t="s">
        <v>0</v>
      </c>
      <c r="B122" s="3"/>
      <c r="J122" s="3"/>
    </row>
    <row r="123" spans="1:13" ht="15.75">
      <c r="A123" s="1" t="s">
        <v>26</v>
      </c>
      <c r="B123" s="2">
        <v>2</v>
      </c>
      <c r="C123" s="2" t="s">
        <v>2</v>
      </c>
      <c r="D123" s="2"/>
      <c r="E123" s="2"/>
      <c r="F123" s="2"/>
      <c r="G123" s="2" t="s">
        <v>3</v>
      </c>
      <c r="H123" s="2"/>
      <c r="I123" s="2"/>
      <c r="J123" s="2"/>
    </row>
    <row r="124" spans="1:13">
      <c r="B124" s="4" t="s">
        <v>4</v>
      </c>
      <c r="C124" s="4" t="s">
        <v>5</v>
      </c>
      <c r="D124" s="4"/>
      <c r="E124" s="4" t="s">
        <v>6</v>
      </c>
      <c r="F124" s="5"/>
      <c r="G124" s="4" t="s">
        <v>7</v>
      </c>
      <c r="H124" s="5"/>
      <c r="I124" s="5" t="s">
        <v>6</v>
      </c>
      <c r="J124" s="5"/>
    </row>
    <row r="125" spans="1:13">
      <c r="B125" s="4" t="s">
        <v>8</v>
      </c>
      <c r="C125" s="4" t="s">
        <v>8</v>
      </c>
      <c r="D125" s="4" t="s">
        <v>9</v>
      </c>
      <c r="E125" s="4" t="s">
        <v>8</v>
      </c>
      <c r="F125" s="5" t="s">
        <v>9</v>
      </c>
      <c r="G125" s="5" t="s">
        <v>8</v>
      </c>
      <c r="H125" s="5" t="s">
        <v>9</v>
      </c>
      <c r="I125" s="5" t="s">
        <v>8</v>
      </c>
      <c r="J125" s="5" t="s">
        <v>9</v>
      </c>
    </row>
    <row r="126" spans="1:13">
      <c r="B126" s="4"/>
      <c r="C126" s="4"/>
      <c r="D126" s="4"/>
      <c r="E126" s="4"/>
      <c r="F126" s="4"/>
      <c r="G126" s="4"/>
      <c r="H126" s="4"/>
      <c r="I126" s="4"/>
      <c r="J126" s="4"/>
    </row>
    <row r="127" spans="1:13">
      <c r="A127" s="3" t="s">
        <v>10</v>
      </c>
      <c r="B127" s="6">
        <f>C127+G127</f>
        <v>557376</v>
      </c>
      <c r="C127" s="7">
        <v>59504</v>
      </c>
      <c r="D127" s="8">
        <f t="shared" ref="D127:D132" si="22">C127/B127</f>
        <v>0.10675737742565163</v>
      </c>
      <c r="E127" s="12">
        <v>43324229</v>
      </c>
      <c r="F127" s="10">
        <f>E127/(E127+I127)</f>
        <v>0.11170579501740693</v>
      </c>
      <c r="G127" s="11">
        <v>497872</v>
      </c>
      <c r="H127" s="10">
        <f t="shared" ref="H127:H132" si="23">G127/B127</f>
        <v>0.89324262257434839</v>
      </c>
      <c r="I127" s="12">
        <v>344518040</v>
      </c>
      <c r="J127" s="10">
        <f>I127/(E127+I127)</f>
        <v>0.88829420498259304</v>
      </c>
    </row>
    <row r="128" spans="1:13">
      <c r="A128" s="3" t="s">
        <v>11</v>
      </c>
      <c r="B128" s="6">
        <f>C128+G128</f>
        <v>62305</v>
      </c>
      <c r="C128" s="7">
        <v>18216</v>
      </c>
      <c r="D128" s="8">
        <f t="shared" si="22"/>
        <v>0.29236818874889658</v>
      </c>
      <c r="E128" s="12">
        <v>19955303</v>
      </c>
      <c r="F128" s="10">
        <f>E128/(E128+I128)</f>
        <v>0.31893927601867667</v>
      </c>
      <c r="G128" s="11">
        <v>44089</v>
      </c>
      <c r="H128" s="10">
        <f t="shared" si="23"/>
        <v>0.70763181125110342</v>
      </c>
      <c r="I128" s="12">
        <v>42612416</v>
      </c>
      <c r="J128" s="10">
        <f>I128/(E128+I128)</f>
        <v>0.68106072398132333</v>
      </c>
    </row>
    <row r="129" spans="1:13">
      <c r="A129" s="3" t="s">
        <v>12</v>
      </c>
      <c r="B129" s="6">
        <f>C129+G129</f>
        <v>10395</v>
      </c>
      <c r="C129" s="7">
        <v>5875</v>
      </c>
      <c r="D129" s="8">
        <f t="shared" si="22"/>
        <v>0.56517556517556522</v>
      </c>
      <c r="E129" s="12">
        <v>120897795</v>
      </c>
      <c r="F129" s="10">
        <f>E129/(E129+I129)</f>
        <v>0.72001150967429639</v>
      </c>
      <c r="G129" s="11">
        <v>4520</v>
      </c>
      <c r="H129" s="10">
        <f t="shared" si="23"/>
        <v>0.43482443482443484</v>
      </c>
      <c r="I129" s="12">
        <v>47013125</v>
      </c>
      <c r="J129" s="10">
        <f>I129/(E129+I129)</f>
        <v>0.27998849032570367</v>
      </c>
    </row>
    <row r="130" spans="1:13">
      <c r="A130" s="3" t="s">
        <v>13</v>
      </c>
      <c r="B130" s="6">
        <f>C130+G130</f>
        <v>373</v>
      </c>
      <c r="C130" s="7">
        <v>327</v>
      </c>
      <c r="D130" s="8">
        <f t="shared" si="22"/>
        <v>0.87667560321715821</v>
      </c>
      <c r="E130" s="12">
        <v>216257060</v>
      </c>
      <c r="F130" s="10">
        <f>E130/(E130+I130)</f>
        <v>0.98047599832536081</v>
      </c>
      <c r="G130" s="11">
        <v>46</v>
      </c>
      <c r="H130" s="10">
        <f t="shared" si="23"/>
        <v>0.12332439678284182</v>
      </c>
      <c r="I130" s="12">
        <v>4306279</v>
      </c>
      <c r="J130" s="10">
        <f>I130/(E130+I130)</f>
        <v>1.9524001674639139E-2</v>
      </c>
    </row>
    <row r="131" spans="1:13">
      <c r="A131" s="3" t="s">
        <v>14</v>
      </c>
      <c r="B131" s="6">
        <f>C131+G131</f>
        <v>5512</v>
      </c>
      <c r="C131" s="7">
        <v>1623</v>
      </c>
      <c r="D131" s="8">
        <f t="shared" si="22"/>
        <v>0.29444847605224966</v>
      </c>
      <c r="E131" s="12">
        <v>1127643</v>
      </c>
      <c r="F131" s="10">
        <f>E131/(E131+I130)</f>
        <v>0.20751917307609494</v>
      </c>
      <c r="G131" s="11">
        <v>3889</v>
      </c>
      <c r="H131" s="10">
        <f t="shared" si="23"/>
        <v>0.70555152394775034</v>
      </c>
      <c r="I131" s="13">
        <v>690300</v>
      </c>
      <c r="J131" s="10">
        <f>I130/(E131+I130)</f>
        <v>0.79248082692390509</v>
      </c>
      <c r="M131" s="14"/>
    </row>
    <row r="132" spans="1:13" ht="15.75">
      <c r="B132" s="15">
        <f>SUM(B127:B131)</f>
        <v>635961</v>
      </c>
      <c r="C132" s="16">
        <f>SUM(C127:C131)</f>
        <v>85545</v>
      </c>
      <c r="D132" s="17">
        <f t="shared" si="22"/>
        <v>0.1345129654176907</v>
      </c>
      <c r="E132" s="18">
        <f>SUM(E127:E131)</f>
        <v>401562030</v>
      </c>
      <c r="F132" s="10">
        <f>E132/(E132+I132)</f>
        <v>0.47765074812044916</v>
      </c>
      <c r="G132" s="18">
        <f>SUM(G127:G131)</f>
        <v>550416</v>
      </c>
      <c r="H132" s="17">
        <f t="shared" si="23"/>
        <v>0.86548703458230924</v>
      </c>
      <c r="I132" s="18">
        <f>SUM(I127:I131)</f>
        <v>439140160</v>
      </c>
      <c r="J132" s="10">
        <f>I132/(E132+I132)</f>
        <v>0.52234925187955084</v>
      </c>
    </row>
    <row r="133" spans="1:13" ht="15.75">
      <c r="A133" s="1" t="s">
        <v>0</v>
      </c>
      <c r="B133" s="3"/>
      <c r="J133" s="3"/>
    </row>
    <row r="134" spans="1:13" ht="15.75">
      <c r="A134" s="1" t="s">
        <v>27</v>
      </c>
      <c r="B134" s="2">
        <v>2</v>
      </c>
      <c r="C134" s="2" t="s">
        <v>2</v>
      </c>
      <c r="D134" s="2"/>
      <c r="E134" s="2"/>
      <c r="F134" s="2"/>
      <c r="G134" s="2" t="s">
        <v>3</v>
      </c>
      <c r="H134" s="2"/>
      <c r="I134" s="2"/>
      <c r="J134" s="2"/>
    </row>
    <row r="135" spans="1:13">
      <c r="B135" s="4" t="s">
        <v>4</v>
      </c>
      <c r="C135" s="4" t="s">
        <v>5</v>
      </c>
      <c r="D135" s="4"/>
      <c r="E135" s="4" t="s">
        <v>6</v>
      </c>
      <c r="F135" s="5"/>
      <c r="G135" s="4" t="s">
        <v>7</v>
      </c>
      <c r="H135" s="5"/>
      <c r="I135" s="5" t="s">
        <v>6</v>
      </c>
      <c r="J135" s="5"/>
    </row>
    <row r="136" spans="1:13">
      <c r="B136" s="4" t="s">
        <v>8</v>
      </c>
      <c r="C136" s="4" t="s">
        <v>8</v>
      </c>
      <c r="D136" s="4" t="s">
        <v>9</v>
      </c>
      <c r="E136" s="4" t="s">
        <v>8</v>
      </c>
      <c r="F136" s="5" t="s">
        <v>9</v>
      </c>
      <c r="G136" s="5" t="s">
        <v>8</v>
      </c>
      <c r="H136" s="5" t="s">
        <v>9</v>
      </c>
      <c r="I136" s="5" t="s">
        <v>8</v>
      </c>
      <c r="J136" s="5" t="s">
        <v>9</v>
      </c>
    </row>
    <row r="137" spans="1:13">
      <c r="B137" s="4"/>
      <c r="C137" s="4"/>
      <c r="D137" s="4"/>
      <c r="E137" s="4"/>
      <c r="F137" s="4"/>
      <c r="G137" s="4"/>
      <c r="H137" s="4"/>
      <c r="I137" s="4"/>
      <c r="J137" s="4"/>
    </row>
    <row r="138" spans="1:13">
      <c r="A138" s="3" t="s">
        <v>10</v>
      </c>
      <c r="B138" s="6">
        <f>C138+G138</f>
        <v>584823</v>
      </c>
      <c r="C138" s="7">
        <v>65137</v>
      </c>
      <c r="D138" s="8">
        <f t="shared" ref="D138:D143" si="24">C138/B138</f>
        <v>0.11137899843200422</v>
      </c>
      <c r="E138" s="12">
        <v>48169484</v>
      </c>
      <c r="F138" s="10">
        <f>E138/(E138+I138)</f>
        <v>0.117840914665878</v>
      </c>
      <c r="G138" s="11">
        <v>519686</v>
      </c>
      <c r="H138" s="10">
        <f t="shared" ref="H138:H143" si="25">G138/B138</f>
        <v>0.88862100156799584</v>
      </c>
      <c r="I138" s="12">
        <v>360597574</v>
      </c>
      <c r="J138" s="10">
        <f>I138/(E138+I138)</f>
        <v>0.88215908533412202</v>
      </c>
    </row>
    <row r="139" spans="1:13">
      <c r="A139" s="3" t="s">
        <v>11</v>
      </c>
      <c r="B139" s="6">
        <f>C139+G139</f>
        <v>65523</v>
      </c>
      <c r="C139" s="7">
        <v>19259</v>
      </c>
      <c r="D139" s="8">
        <f t="shared" si="24"/>
        <v>0.29392732323001086</v>
      </c>
      <c r="E139" s="12">
        <v>20215694</v>
      </c>
      <c r="F139" s="10">
        <f>E139/(E139+I139)</f>
        <v>0.31987585413731406</v>
      </c>
      <c r="G139" s="11">
        <v>46264</v>
      </c>
      <c r="H139" s="10">
        <f t="shared" si="25"/>
        <v>0.70607267676998919</v>
      </c>
      <c r="I139" s="12">
        <v>42982868</v>
      </c>
      <c r="J139" s="10">
        <f>I139/(E139+I139)</f>
        <v>0.68012414586268588</v>
      </c>
    </row>
    <row r="140" spans="1:13">
      <c r="A140" s="3" t="s">
        <v>12</v>
      </c>
      <c r="B140" s="6">
        <f>C140+G140</f>
        <v>10979</v>
      </c>
      <c r="C140" s="7">
        <v>6179</v>
      </c>
      <c r="D140" s="8">
        <f t="shared" si="24"/>
        <v>0.5628017123599599</v>
      </c>
      <c r="E140" s="12">
        <v>128123185</v>
      </c>
      <c r="F140" s="10">
        <f>E140/(E140+I140)</f>
        <v>0.71960679195545207</v>
      </c>
      <c r="G140" s="11">
        <v>4800</v>
      </c>
      <c r="H140" s="10">
        <f t="shared" si="25"/>
        <v>0.4371982876400401</v>
      </c>
      <c r="I140" s="12">
        <v>49922918</v>
      </c>
      <c r="J140" s="10">
        <f>I140/(E140+I140)</f>
        <v>0.28039320804454787</v>
      </c>
    </row>
    <row r="141" spans="1:13">
      <c r="A141" s="3" t="s">
        <v>13</v>
      </c>
      <c r="B141" s="6">
        <f>C141+G141</f>
        <v>402</v>
      </c>
      <c r="C141" s="7">
        <v>353</v>
      </c>
      <c r="D141" s="8">
        <f t="shared" si="24"/>
        <v>0.87810945273631846</v>
      </c>
      <c r="E141" s="12">
        <v>214159626</v>
      </c>
      <c r="F141" s="10">
        <f>E141/(E141+I141)</f>
        <v>0.97845426334434327</v>
      </c>
      <c r="G141" s="11">
        <v>49</v>
      </c>
      <c r="H141" s="10">
        <f t="shared" si="25"/>
        <v>0.12189054726368159</v>
      </c>
      <c r="I141" s="12">
        <v>4715833</v>
      </c>
      <c r="J141" s="10">
        <f>I141/(E141+I141)</f>
        <v>2.1545736655656768E-2</v>
      </c>
    </row>
    <row r="142" spans="1:13">
      <c r="A142" s="3" t="s">
        <v>14</v>
      </c>
      <c r="B142" s="6">
        <f>C142+G142</f>
        <v>5748</v>
      </c>
      <c r="C142" s="7">
        <v>1709</v>
      </c>
      <c r="D142" s="8">
        <f t="shared" si="24"/>
        <v>0.29732080723729992</v>
      </c>
      <c r="E142" s="12">
        <v>1212215</v>
      </c>
      <c r="F142" s="10">
        <f>E142/(E142+I141)</f>
        <v>0.20448805407783474</v>
      </c>
      <c r="G142" s="11">
        <v>4039</v>
      </c>
      <c r="H142" s="10">
        <f t="shared" si="25"/>
        <v>0.70267919276270008</v>
      </c>
      <c r="I142" s="13">
        <v>831203</v>
      </c>
      <c r="J142" s="10">
        <f>I141/(E142+I141)</f>
        <v>0.79551194592216523</v>
      </c>
      <c r="M142" s="14"/>
    </row>
    <row r="143" spans="1:13" ht="15.75">
      <c r="B143" s="15">
        <f>SUM(B138:B142)</f>
        <v>667475</v>
      </c>
      <c r="C143" s="16">
        <f>SUM(C138:C142)</f>
        <v>92637</v>
      </c>
      <c r="D143" s="17">
        <f t="shared" si="24"/>
        <v>0.13878722049514963</v>
      </c>
      <c r="E143" s="18">
        <f>SUM(E138:E142)</f>
        <v>411880204</v>
      </c>
      <c r="F143" s="10">
        <f>E143/(E143+I143)</f>
        <v>0.47291966087768644</v>
      </c>
      <c r="G143" s="18">
        <f>SUM(G138:G142)</f>
        <v>574838</v>
      </c>
      <c r="H143" s="17">
        <f t="shared" si="25"/>
        <v>0.86121277950485042</v>
      </c>
      <c r="I143" s="18">
        <f>SUM(I138:I142)</f>
        <v>459050396</v>
      </c>
      <c r="J143" s="10">
        <f>I143/(E143+I143)</f>
        <v>0.52708033912231356</v>
      </c>
    </row>
    <row r="144" spans="1:13" ht="15.75">
      <c r="A144" s="1" t="s">
        <v>0</v>
      </c>
      <c r="B144" s="3"/>
      <c r="J144" s="3"/>
    </row>
    <row r="145" spans="1:13" ht="15.75">
      <c r="A145" s="1" t="s">
        <v>28</v>
      </c>
      <c r="B145" s="2">
        <v>2</v>
      </c>
      <c r="C145" s="2" t="s">
        <v>2</v>
      </c>
      <c r="D145" s="2"/>
      <c r="E145" s="2"/>
      <c r="F145" s="2"/>
      <c r="G145" s="2" t="s">
        <v>3</v>
      </c>
      <c r="H145" s="2"/>
      <c r="I145" s="2"/>
      <c r="J145" s="2"/>
    </row>
    <row r="146" spans="1:13">
      <c r="B146" s="4" t="s">
        <v>4</v>
      </c>
      <c r="C146" s="4" t="s">
        <v>5</v>
      </c>
      <c r="D146" s="4"/>
      <c r="E146" s="4" t="s">
        <v>6</v>
      </c>
      <c r="F146" s="5"/>
      <c r="G146" s="4" t="s">
        <v>7</v>
      </c>
      <c r="H146" s="5"/>
      <c r="I146" s="5" t="s">
        <v>6</v>
      </c>
      <c r="J146" s="5"/>
    </row>
    <row r="147" spans="1:13">
      <c r="B147" s="4" t="s">
        <v>8</v>
      </c>
      <c r="C147" s="4" t="s">
        <v>8</v>
      </c>
      <c r="D147" s="4" t="s">
        <v>9</v>
      </c>
      <c r="E147" s="4" t="s">
        <v>8</v>
      </c>
      <c r="F147" s="5" t="s">
        <v>9</v>
      </c>
      <c r="G147" s="5" t="s">
        <v>8</v>
      </c>
      <c r="H147" s="5" t="s">
        <v>9</v>
      </c>
      <c r="I147" s="5" t="s">
        <v>8</v>
      </c>
      <c r="J147" s="5" t="s">
        <v>9</v>
      </c>
    </row>
    <row r="148" spans="1:13">
      <c r="B148" s="4"/>
      <c r="C148" s="4"/>
      <c r="D148" s="4"/>
      <c r="E148" s="4"/>
      <c r="F148" s="4"/>
      <c r="G148" s="4"/>
      <c r="H148" s="4"/>
      <c r="I148" s="4"/>
      <c r="J148" s="4"/>
    </row>
    <row r="149" spans="1:13">
      <c r="A149" s="3" t="s">
        <v>10</v>
      </c>
      <c r="B149" s="6">
        <f>C149+G149</f>
        <v>580253</v>
      </c>
      <c r="C149" s="7">
        <v>65203</v>
      </c>
      <c r="D149" s="8">
        <f t="shared" ref="D149:D154" si="26">C149/B149</f>
        <v>0.11236994897053526</v>
      </c>
      <c r="E149" s="12">
        <v>45657752</v>
      </c>
      <c r="F149" s="10">
        <f>E149/(E149+I149)</f>
        <v>0.12232788982876813</v>
      </c>
      <c r="G149" s="11">
        <v>515050</v>
      </c>
      <c r="H149" s="10">
        <f t="shared" ref="H149:H154" si="27">G149/B149</f>
        <v>0.88763005102946468</v>
      </c>
      <c r="I149" s="12">
        <v>327582987</v>
      </c>
      <c r="J149" s="10">
        <f>I149/(E149+I149)</f>
        <v>0.87767211017123192</v>
      </c>
    </row>
    <row r="150" spans="1:13">
      <c r="A150" s="3" t="s">
        <v>11</v>
      </c>
      <c r="B150" s="6">
        <f>C150+G150</f>
        <v>64967</v>
      </c>
      <c r="C150" s="7">
        <v>18929</v>
      </c>
      <c r="D150" s="8">
        <f t="shared" si="26"/>
        <v>0.29136330752535905</v>
      </c>
      <c r="E150" s="12">
        <v>19157795</v>
      </c>
      <c r="F150" s="10">
        <f>E150/(E150+I150)</f>
        <v>0.32335068960951957</v>
      </c>
      <c r="G150" s="11">
        <v>46038</v>
      </c>
      <c r="H150" s="10">
        <f t="shared" si="27"/>
        <v>0.70863669247464101</v>
      </c>
      <c r="I150" s="12">
        <v>40089937</v>
      </c>
      <c r="J150" s="10">
        <f>I150/(E150+I150)</f>
        <v>0.67664931039048049</v>
      </c>
    </row>
    <row r="151" spans="1:13">
      <c r="A151" s="3" t="s">
        <v>12</v>
      </c>
      <c r="B151" s="6">
        <f>C151+G151</f>
        <v>10777</v>
      </c>
      <c r="C151" s="7">
        <v>5987</v>
      </c>
      <c r="D151" s="8">
        <f t="shared" si="26"/>
        <v>0.55553493551081001</v>
      </c>
      <c r="E151" s="12">
        <v>122732569</v>
      </c>
      <c r="F151" s="10">
        <f>E151/(E151+I151)</f>
        <v>0.72114647468053261</v>
      </c>
      <c r="G151" s="11">
        <v>4790</v>
      </c>
      <c r="H151" s="10">
        <f t="shared" si="27"/>
        <v>0.44446506448918993</v>
      </c>
      <c r="I151" s="12">
        <v>47458333</v>
      </c>
      <c r="J151" s="10">
        <f>I151/(E151+I151)</f>
        <v>0.27885352531946744</v>
      </c>
    </row>
    <row r="152" spans="1:13">
      <c r="A152" s="3" t="s">
        <v>13</v>
      </c>
      <c r="B152" s="6">
        <f>C152+G152</f>
        <v>380</v>
      </c>
      <c r="C152" s="7">
        <v>338</v>
      </c>
      <c r="D152" s="8">
        <f t="shared" si="26"/>
        <v>0.88947368421052631</v>
      </c>
      <c r="E152" s="12">
        <v>193273630</v>
      </c>
      <c r="F152" s="10">
        <f>E152/(E152+I152)</f>
        <v>0.974927019681882</v>
      </c>
      <c r="G152" s="11">
        <v>42</v>
      </c>
      <c r="H152" s="10">
        <f t="shared" si="27"/>
        <v>0.11052631578947368</v>
      </c>
      <c r="I152" s="12">
        <v>4970573</v>
      </c>
      <c r="J152" s="10">
        <f>I152/(E152+I152)</f>
        <v>2.5072980318118054E-2</v>
      </c>
    </row>
    <row r="153" spans="1:13">
      <c r="A153" s="3" t="s">
        <v>14</v>
      </c>
      <c r="B153" s="6">
        <f>C153+G153</f>
        <v>5683</v>
      </c>
      <c r="C153" s="7">
        <v>1668</v>
      </c>
      <c r="D153" s="8">
        <f t="shared" si="26"/>
        <v>0.29350695055428472</v>
      </c>
      <c r="E153" s="12">
        <v>1248607</v>
      </c>
      <c r="F153" s="10">
        <f>E153/(E153+I152)</f>
        <v>0.20076714293524225</v>
      </c>
      <c r="G153" s="11">
        <v>4015</v>
      </c>
      <c r="H153" s="10">
        <f t="shared" si="27"/>
        <v>0.70649304944571534</v>
      </c>
      <c r="I153" s="13">
        <v>789760</v>
      </c>
      <c r="J153" s="10">
        <f>I152/(E153+I152)</f>
        <v>0.79923285706475777</v>
      </c>
      <c r="M153" s="14"/>
    </row>
    <row r="154" spans="1:13" ht="15.75">
      <c r="B154" s="15">
        <f>SUM(B149:B153)</f>
        <v>662060</v>
      </c>
      <c r="C154" s="16">
        <f>SUM(C149:C153)</f>
        <v>92125</v>
      </c>
      <c r="D154" s="17">
        <f t="shared" si="26"/>
        <v>0.1391490197263088</v>
      </c>
      <c r="E154" s="18">
        <f>SUM(E149:E153)</f>
        <v>382070353</v>
      </c>
      <c r="F154" s="10">
        <f>E154/(E154+I154)</f>
        <v>0.47582622854144407</v>
      </c>
      <c r="G154" s="18">
        <f>SUM(G149:G153)</f>
        <v>569935</v>
      </c>
      <c r="H154" s="17">
        <f t="shared" si="27"/>
        <v>0.86085098027369122</v>
      </c>
      <c r="I154" s="18">
        <f>SUM(I149:I153)</f>
        <v>420891590</v>
      </c>
      <c r="J154" s="10">
        <f>I154/(E154+I154)</f>
        <v>0.52417377145855593</v>
      </c>
    </row>
    <row r="155" spans="1:13" ht="15.75">
      <c r="A155" s="1" t="s">
        <v>0</v>
      </c>
      <c r="B155" s="3"/>
      <c r="J155" s="3"/>
    </row>
    <row r="156" spans="1:13" ht="15.75">
      <c r="A156" s="1" t="s">
        <v>29</v>
      </c>
      <c r="B156" s="2">
        <v>2</v>
      </c>
      <c r="C156" s="2" t="s">
        <v>2</v>
      </c>
      <c r="D156" s="2"/>
      <c r="E156" s="2"/>
      <c r="F156" s="2"/>
      <c r="G156" s="2" t="s">
        <v>3</v>
      </c>
      <c r="H156" s="2"/>
      <c r="I156" s="2"/>
      <c r="J156" s="2"/>
    </row>
    <row r="157" spans="1:13">
      <c r="B157" s="4" t="s">
        <v>4</v>
      </c>
      <c r="C157" s="4" t="s">
        <v>5</v>
      </c>
      <c r="D157" s="4"/>
      <c r="E157" s="4" t="s">
        <v>6</v>
      </c>
      <c r="F157" s="5"/>
      <c r="G157" s="4" t="s">
        <v>7</v>
      </c>
      <c r="H157" s="5"/>
      <c r="I157" s="5" t="s">
        <v>6</v>
      </c>
      <c r="J157" s="5"/>
    </row>
    <row r="158" spans="1:13">
      <c r="B158" s="4" t="s">
        <v>8</v>
      </c>
      <c r="C158" s="4" t="s">
        <v>8</v>
      </c>
      <c r="D158" s="4" t="s">
        <v>9</v>
      </c>
      <c r="E158" s="4" t="s">
        <v>8</v>
      </c>
      <c r="F158" s="5" t="s">
        <v>9</v>
      </c>
      <c r="G158" s="5" t="s">
        <v>8</v>
      </c>
      <c r="H158" s="5" t="s">
        <v>9</v>
      </c>
      <c r="I158" s="5" t="s">
        <v>8</v>
      </c>
      <c r="J158" s="5" t="s">
        <v>9</v>
      </c>
    </row>
    <row r="159" spans="1:13">
      <c r="B159" s="4"/>
      <c r="C159" s="4"/>
      <c r="D159" s="4"/>
      <c r="E159" s="4"/>
      <c r="F159" s="4"/>
      <c r="G159" s="4"/>
      <c r="H159" s="4"/>
      <c r="I159" s="4"/>
      <c r="J159" s="4"/>
    </row>
    <row r="160" spans="1:13">
      <c r="A160" s="3" t="s">
        <v>10</v>
      </c>
      <c r="B160" s="6">
        <f>C160+G160</f>
        <v>559428</v>
      </c>
      <c r="C160" s="7">
        <v>61897</v>
      </c>
      <c r="D160" s="8">
        <f t="shared" ref="D160:D165" si="28">C160/B160</f>
        <v>0.11064337144368891</v>
      </c>
      <c r="E160" s="12">
        <v>34757217</v>
      </c>
      <c r="F160" s="10">
        <f>E160/(E160+I160)</f>
        <v>0.12004119870278261</v>
      </c>
      <c r="G160" s="11">
        <v>497531</v>
      </c>
      <c r="H160" s="10">
        <f t="shared" ref="H160:H165" si="29">G160/B160</f>
        <v>0.88935662855631104</v>
      </c>
      <c r="I160" s="12">
        <v>254786851</v>
      </c>
      <c r="J160" s="10">
        <f>I160/(E160+I160)</f>
        <v>0.87995880129721737</v>
      </c>
    </row>
    <row r="161" spans="1:13">
      <c r="A161" s="3" t="s">
        <v>11</v>
      </c>
      <c r="B161" s="6">
        <f>C161+G161</f>
        <v>62292</v>
      </c>
      <c r="C161" s="7">
        <v>17912</v>
      </c>
      <c r="D161" s="8">
        <f t="shared" si="28"/>
        <v>0.28754896294869325</v>
      </c>
      <c r="E161" s="12">
        <v>15384825</v>
      </c>
      <c r="F161" s="10">
        <f>E161/(E161+I161)</f>
        <v>0.32307150524159817</v>
      </c>
      <c r="G161" s="11">
        <v>44380</v>
      </c>
      <c r="H161" s="10">
        <f t="shared" si="29"/>
        <v>0.71245103705130675</v>
      </c>
      <c r="I161" s="12">
        <v>32235670</v>
      </c>
      <c r="J161" s="10">
        <f>I161/(E161+I161)</f>
        <v>0.67692849475840178</v>
      </c>
    </row>
    <row r="162" spans="1:13">
      <c r="A162" s="3" t="s">
        <v>12</v>
      </c>
      <c r="B162" s="6">
        <f>C162+G162</f>
        <v>10294</v>
      </c>
      <c r="C162" s="7">
        <v>5614</v>
      </c>
      <c r="D162" s="8">
        <f t="shared" si="28"/>
        <v>0.54536623275694585</v>
      </c>
      <c r="E162" s="12">
        <v>98643497</v>
      </c>
      <c r="F162" s="10">
        <f>E162/(E162+I162)</f>
        <v>0.70768670818563684</v>
      </c>
      <c r="G162" s="11">
        <v>4680</v>
      </c>
      <c r="H162" s="10">
        <f t="shared" si="29"/>
        <v>0.45463376724305421</v>
      </c>
      <c r="I162" s="12">
        <v>40745156</v>
      </c>
      <c r="J162" s="10">
        <f>I162/(E162+I162)</f>
        <v>0.29231329181436311</v>
      </c>
    </row>
    <row r="163" spans="1:13">
      <c r="A163" s="3" t="s">
        <v>13</v>
      </c>
      <c r="B163" s="6">
        <f>C163+G163</f>
        <v>319</v>
      </c>
      <c r="C163" s="7">
        <v>274</v>
      </c>
      <c r="D163" s="8">
        <f t="shared" si="28"/>
        <v>0.85893416927899691</v>
      </c>
      <c r="E163" s="12">
        <v>113334612</v>
      </c>
      <c r="F163" s="10">
        <f>E163/(E163+I163)</f>
        <v>0.95197379698167628</v>
      </c>
      <c r="G163" s="11">
        <v>45</v>
      </c>
      <c r="H163" s="10">
        <f t="shared" si="29"/>
        <v>0.14106583072100312</v>
      </c>
      <c r="I163" s="12">
        <v>5717627</v>
      </c>
      <c r="J163" s="10">
        <f>I163/(E163+I163)</f>
        <v>4.8026203018323749E-2</v>
      </c>
    </row>
    <row r="164" spans="1:13">
      <c r="A164" s="3" t="s">
        <v>14</v>
      </c>
      <c r="B164" s="6">
        <f>C164+G164</f>
        <v>5440</v>
      </c>
      <c r="C164" s="7">
        <v>1560</v>
      </c>
      <c r="D164" s="8">
        <f t="shared" si="28"/>
        <v>0.28676470588235292</v>
      </c>
      <c r="E164" s="12">
        <v>1040014</v>
      </c>
      <c r="F164" s="10">
        <f>E164/(E164+I163)</f>
        <v>0.15390193116207268</v>
      </c>
      <c r="G164" s="11">
        <v>3880</v>
      </c>
      <c r="H164" s="10">
        <f t="shared" si="29"/>
        <v>0.71323529411764708</v>
      </c>
      <c r="I164" s="13">
        <v>603637</v>
      </c>
      <c r="J164" s="10">
        <f>I163/(E164+I163)</f>
        <v>0.84609806883792726</v>
      </c>
      <c r="M164" s="14"/>
    </row>
    <row r="165" spans="1:13" ht="15.75">
      <c r="B165" s="15">
        <f>SUM(B160:B164)</f>
        <v>637773</v>
      </c>
      <c r="C165" s="16">
        <f>SUM(C160:C164)</f>
        <v>87257</v>
      </c>
      <c r="D165" s="17">
        <f t="shared" si="28"/>
        <v>0.1368151364200115</v>
      </c>
      <c r="E165" s="18">
        <f>SUM(E160:E164)</f>
        <v>263160165</v>
      </c>
      <c r="F165" s="10">
        <f>E165/(E165+I165)</f>
        <v>0.44062044188308924</v>
      </c>
      <c r="G165" s="18">
        <f>SUM(G160:G164)</f>
        <v>550516</v>
      </c>
      <c r="H165" s="17">
        <f t="shared" si="29"/>
        <v>0.86318486357998847</v>
      </c>
      <c r="I165" s="18">
        <f>SUM(I160:I164)</f>
        <v>334088941</v>
      </c>
      <c r="J165" s="10">
        <f>I165/(E165+I165)</f>
        <v>0.55937955811691076</v>
      </c>
    </row>
    <row r="166" spans="1:13" ht="15.75">
      <c r="A166" s="1" t="s">
        <v>0</v>
      </c>
      <c r="B166" s="3"/>
      <c r="J166" s="3"/>
    </row>
    <row r="167" spans="1:13" ht="15.75">
      <c r="A167" s="1" t="s">
        <v>30</v>
      </c>
      <c r="B167" s="2">
        <v>2</v>
      </c>
      <c r="C167" s="2" t="s">
        <v>2</v>
      </c>
      <c r="D167" s="2"/>
      <c r="E167" s="2"/>
      <c r="F167" s="2"/>
      <c r="G167" s="2" t="s">
        <v>3</v>
      </c>
      <c r="H167" s="2"/>
      <c r="I167" s="2"/>
      <c r="J167" s="2"/>
    </row>
    <row r="168" spans="1:13">
      <c r="B168" s="4" t="s">
        <v>4</v>
      </c>
      <c r="C168" s="4" t="s">
        <v>5</v>
      </c>
      <c r="D168" s="4"/>
      <c r="E168" s="4" t="s">
        <v>6</v>
      </c>
      <c r="F168" s="5"/>
      <c r="G168" s="4" t="s">
        <v>7</v>
      </c>
      <c r="H168" s="5"/>
      <c r="I168" s="5" t="s">
        <v>6</v>
      </c>
      <c r="J168" s="5"/>
    </row>
    <row r="169" spans="1:13">
      <c r="B169" s="4" t="s">
        <v>8</v>
      </c>
      <c r="C169" s="4" t="s">
        <v>8</v>
      </c>
      <c r="D169" s="4" t="s">
        <v>9</v>
      </c>
      <c r="E169" s="4" t="s">
        <v>8</v>
      </c>
      <c r="F169" s="5" t="s">
        <v>9</v>
      </c>
      <c r="G169" s="5" t="s">
        <v>8</v>
      </c>
      <c r="H169" s="5" t="s">
        <v>9</v>
      </c>
      <c r="I169" s="5" t="s">
        <v>8</v>
      </c>
      <c r="J169" s="5" t="s">
        <v>9</v>
      </c>
    </row>
    <row r="170" spans="1:13">
      <c r="B170" s="4"/>
      <c r="C170" s="4"/>
      <c r="D170" s="4"/>
      <c r="E170" s="4"/>
      <c r="F170" s="4"/>
      <c r="G170" s="4"/>
      <c r="H170" s="4"/>
      <c r="I170" s="4"/>
      <c r="J170" s="4"/>
    </row>
    <row r="171" spans="1:13">
      <c r="A171" s="3" t="s">
        <v>10</v>
      </c>
      <c r="B171" s="6">
        <f>C171+G171</f>
        <v>583962</v>
      </c>
      <c r="C171" s="7">
        <v>63480</v>
      </c>
      <c r="D171" s="8">
        <f t="shared" ref="D171:D176" si="30">C171/B171</f>
        <v>0.10870570345330689</v>
      </c>
      <c r="E171" s="12">
        <v>33772175</v>
      </c>
      <c r="F171" s="10">
        <f>E171/(E171+I171)</f>
        <v>0.11879378752654388</v>
      </c>
      <c r="G171" s="11">
        <v>520482</v>
      </c>
      <c r="H171" s="10">
        <f t="shared" ref="H171:H176" si="31">G171/B171</f>
        <v>0.89129429654669312</v>
      </c>
      <c r="I171" s="12">
        <v>250520259</v>
      </c>
      <c r="J171" s="10">
        <f>I171/(E171+I171)</f>
        <v>0.8812062124734561</v>
      </c>
    </row>
    <row r="172" spans="1:13">
      <c r="A172" s="3" t="s">
        <v>11</v>
      </c>
      <c r="B172" s="6">
        <f>C172+G172</f>
        <v>65148</v>
      </c>
      <c r="C172" s="7">
        <v>18583</v>
      </c>
      <c r="D172" s="8">
        <f t="shared" si="30"/>
        <v>0.2852428317062688</v>
      </c>
      <c r="E172" s="12">
        <v>16973947</v>
      </c>
      <c r="F172" s="10">
        <f>E172/(E172+I172)</f>
        <v>0.32898333849434747</v>
      </c>
      <c r="G172" s="11">
        <v>46565</v>
      </c>
      <c r="H172" s="10">
        <f t="shared" si="31"/>
        <v>0.71475716829373115</v>
      </c>
      <c r="I172" s="12">
        <v>34621210</v>
      </c>
      <c r="J172" s="10">
        <f>I172/(E172+I172)</f>
        <v>0.67101666150565253</v>
      </c>
    </row>
    <row r="173" spans="1:13">
      <c r="A173" s="3" t="s">
        <v>12</v>
      </c>
      <c r="B173" s="6">
        <f>C173+G173</f>
        <v>11048</v>
      </c>
      <c r="C173" s="7">
        <v>6059</v>
      </c>
      <c r="D173" s="8">
        <f t="shared" si="30"/>
        <v>0.5484250543084721</v>
      </c>
      <c r="E173" s="12">
        <v>117156358</v>
      </c>
      <c r="F173" s="10">
        <f>E173/(E173+I173)</f>
        <v>0.70904502803453651</v>
      </c>
      <c r="G173" s="11">
        <v>4989</v>
      </c>
      <c r="H173" s="10">
        <f t="shared" si="31"/>
        <v>0.4515749456915279</v>
      </c>
      <c r="I173" s="12">
        <v>48074838</v>
      </c>
      <c r="J173" s="10">
        <f>I173/(E173+I173)</f>
        <v>0.29095497196546349</v>
      </c>
    </row>
    <row r="174" spans="1:13">
      <c r="A174" s="3" t="s">
        <v>13</v>
      </c>
      <c r="B174" s="6">
        <f>C174+G174</f>
        <v>374</v>
      </c>
      <c r="C174" s="7">
        <v>329</v>
      </c>
      <c r="D174" s="8">
        <f t="shared" si="30"/>
        <v>0.8796791443850267</v>
      </c>
      <c r="E174" s="12">
        <v>199630662</v>
      </c>
      <c r="F174" s="10">
        <f>E174/(E174+I174)</f>
        <v>0.97508081133097291</v>
      </c>
      <c r="G174" s="11">
        <v>45</v>
      </c>
      <c r="H174" s="10">
        <f t="shared" si="31"/>
        <v>0.12032085561497326</v>
      </c>
      <c r="I174" s="12">
        <v>5101766</v>
      </c>
      <c r="J174" s="10">
        <f>I174/(E174+I174)</f>
        <v>2.4919188669027068E-2</v>
      </c>
    </row>
    <row r="175" spans="1:13">
      <c r="A175" s="3" t="s">
        <v>14</v>
      </c>
      <c r="B175" s="6">
        <f>C175+G175</f>
        <v>5718</v>
      </c>
      <c r="C175" s="7">
        <v>1649</v>
      </c>
      <c r="D175" s="8">
        <f t="shared" si="30"/>
        <v>0.28838754809373907</v>
      </c>
      <c r="E175" s="12">
        <v>1021270</v>
      </c>
      <c r="F175" s="10">
        <f>E175/(E175+I174)</f>
        <v>0.16679144136993479</v>
      </c>
      <c r="G175" s="11">
        <v>4069</v>
      </c>
      <c r="H175" s="10">
        <f t="shared" si="31"/>
        <v>0.71161245190626088</v>
      </c>
      <c r="I175" s="13">
        <v>688214</v>
      </c>
      <c r="J175" s="10">
        <f>I174/(E175+I174)</f>
        <v>0.83320855863006527</v>
      </c>
      <c r="M175" s="14"/>
    </row>
    <row r="176" spans="1:13" ht="15.75">
      <c r="B176" s="15">
        <f>SUM(B171:B175)</f>
        <v>666250</v>
      </c>
      <c r="C176" s="16">
        <f>SUM(C171:C175)</f>
        <v>90100</v>
      </c>
      <c r="D176" s="17">
        <f t="shared" si="30"/>
        <v>0.13523452157598498</v>
      </c>
      <c r="E176" s="18">
        <f>SUM(E171:E175)</f>
        <v>368554412</v>
      </c>
      <c r="F176" s="10">
        <f>E176/(E176+I176)</f>
        <v>0.52088027574295781</v>
      </c>
      <c r="G176" s="18">
        <f>SUM(G171:G175)</f>
        <v>576150</v>
      </c>
      <c r="H176" s="17">
        <f t="shared" si="31"/>
        <v>0.86476547842401497</v>
      </c>
      <c r="I176" s="18">
        <f>SUM(I171:I175)</f>
        <v>339006287</v>
      </c>
      <c r="J176" s="10">
        <f>I176/(E176+I176)</f>
        <v>0.47911972425704213</v>
      </c>
    </row>
    <row r="177" spans="1:13" ht="15.75">
      <c r="A177" s="1" t="s">
        <v>0</v>
      </c>
      <c r="B177" s="3"/>
      <c r="J177" s="3"/>
    </row>
    <row r="178" spans="1:13" ht="15.75">
      <c r="A178" s="1" t="s">
        <v>31</v>
      </c>
      <c r="B178" s="2">
        <v>2</v>
      </c>
      <c r="C178" s="2" t="s">
        <v>2</v>
      </c>
      <c r="D178" s="2"/>
      <c r="E178" s="2"/>
      <c r="F178" s="2"/>
      <c r="G178" s="2" t="s">
        <v>3</v>
      </c>
      <c r="H178" s="2"/>
      <c r="I178" s="2"/>
      <c r="J178" s="2"/>
    </row>
    <row r="179" spans="1:13">
      <c r="B179" s="4" t="s">
        <v>4</v>
      </c>
      <c r="C179" s="4" t="s">
        <v>5</v>
      </c>
      <c r="D179" s="4"/>
      <c r="E179" s="4" t="s">
        <v>6</v>
      </c>
      <c r="F179" s="5"/>
      <c r="G179" s="4" t="s">
        <v>7</v>
      </c>
      <c r="H179" s="5"/>
      <c r="I179" s="5" t="s">
        <v>6</v>
      </c>
      <c r="J179" s="5"/>
    </row>
    <row r="180" spans="1:13">
      <c r="B180" s="4" t="s">
        <v>8</v>
      </c>
      <c r="C180" s="4" t="s">
        <v>8</v>
      </c>
      <c r="D180" s="4" t="s">
        <v>9</v>
      </c>
      <c r="E180" s="4" t="s">
        <v>8</v>
      </c>
      <c r="F180" s="5" t="s">
        <v>9</v>
      </c>
      <c r="G180" s="5" t="s">
        <v>8</v>
      </c>
      <c r="H180" s="5" t="s">
        <v>9</v>
      </c>
      <c r="I180" s="5" t="s">
        <v>8</v>
      </c>
      <c r="J180" s="5" t="s">
        <v>9</v>
      </c>
    </row>
    <row r="181" spans="1:13">
      <c r="B181" s="4"/>
      <c r="C181" s="4"/>
      <c r="D181" s="4"/>
      <c r="E181" s="4"/>
      <c r="F181" s="4"/>
      <c r="G181" s="4"/>
      <c r="H181" s="4"/>
      <c r="I181" s="4"/>
      <c r="J181" s="4"/>
    </row>
    <row r="182" spans="1:13">
      <c r="A182" s="3" t="s">
        <v>10</v>
      </c>
      <c r="B182" s="6">
        <f>C182+G182</f>
        <v>556287</v>
      </c>
      <c r="C182" s="7">
        <v>58727</v>
      </c>
      <c r="D182" s="8">
        <f t="shared" ref="D182:D187" si="32">C182/B182</f>
        <v>0.10556960705535093</v>
      </c>
      <c r="E182" s="12">
        <v>37729078</v>
      </c>
      <c r="F182" s="10">
        <f>E182/(E182+I182)</f>
        <v>0.11461478962930077</v>
      </c>
      <c r="G182" s="11">
        <v>497560</v>
      </c>
      <c r="H182" s="10">
        <f t="shared" ref="H182:H187" si="33">G182/B182</f>
        <v>0.8944303929446491</v>
      </c>
      <c r="I182" s="12">
        <v>291452506</v>
      </c>
      <c r="J182" s="10">
        <f>I182/(E182+I182)</f>
        <v>0.88538521037069928</v>
      </c>
    </row>
    <row r="183" spans="1:13">
      <c r="A183" s="3" t="s">
        <v>11</v>
      </c>
      <c r="B183" s="6">
        <f>C183+G183</f>
        <v>61828</v>
      </c>
      <c r="C183" s="7">
        <v>17604</v>
      </c>
      <c r="D183" s="8">
        <f t="shared" si="32"/>
        <v>0.28472536714757068</v>
      </c>
      <c r="E183" s="12">
        <v>17804998</v>
      </c>
      <c r="F183" s="10">
        <f>E183/(E183+I183)</f>
        <v>0.3080342468379299</v>
      </c>
      <c r="G183" s="11">
        <v>44224</v>
      </c>
      <c r="H183" s="10">
        <f t="shared" si="33"/>
        <v>0.71527463285242932</v>
      </c>
      <c r="I183" s="12">
        <v>39997010</v>
      </c>
      <c r="J183" s="10">
        <f>I183/(E183+I183)</f>
        <v>0.6919657531620701</v>
      </c>
    </row>
    <row r="184" spans="1:13">
      <c r="A184" s="3" t="s">
        <v>12</v>
      </c>
      <c r="B184" s="6">
        <f>C184+G184</f>
        <v>10528</v>
      </c>
      <c r="C184" s="7">
        <v>5739</v>
      </c>
      <c r="D184" s="8">
        <f t="shared" si="32"/>
        <v>0.54511778115501519</v>
      </c>
      <c r="E184" s="12">
        <v>127645881</v>
      </c>
      <c r="F184" s="10">
        <f>E184/(E184+I184)</f>
        <v>0.70314233847139751</v>
      </c>
      <c r="G184" s="11">
        <v>4789</v>
      </c>
      <c r="H184" s="10">
        <f t="shared" si="33"/>
        <v>0.45488221884498481</v>
      </c>
      <c r="I184" s="12">
        <v>53890451</v>
      </c>
      <c r="J184" s="10">
        <f>I184/(E184+I184)</f>
        <v>0.29685766152860243</v>
      </c>
    </row>
    <row r="185" spans="1:13">
      <c r="A185" s="3" t="s">
        <v>13</v>
      </c>
      <c r="B185" s="6">
        <f>C185+G185</f>
        <v>354</v>
      </c>
      <c r="C185" s="7">
        <v>316</v>
      </c>
      <c r="D185" s="8">
        <f t="shared" si="32"/>
        <v>0.89265536723163841</v>
      </c>
      <c r="E185" s="12">
        <v>231792268</v>
      </c>
      <c r="F185" s="10">
        <f>E185/(E185+I185)</f>
        <v>0.98111152138855728</v>
      </c>
      <c r="G185" s="11">
        <v>38</v>
      </c>
      <c r="H185" s="10">
        <f t="shared" si="33"/>
        <v>0.10734463276836158</v>
      </c>
      <c r="I185" s="12">
        <v>4462493</v>
      </c>
      <c r="J185" s="10">
        <f>I185/(E185+I185)</f>
        <v>1.8888478611442671E-2</v>
      </c>
    </row>
    <row r="186" spans="1:13">
      <c r="A186" s="3" t="s">
        <v>14</v>
      </c>
      <c r="B186" s="6">
        <f>C186+G186</f>
        <v>5510</v>
      </c>
      <c r="C186" s="7">
        <v>1565</v>
      </c>
      <c r="D186" s="8">
        <f t="shared" si="32"/>
        <v>0.28402903811252267</v>
      </c>
      <c r="E186" s="12">
        <v>928774</v>
      </c>
      <c r="F186" s="10">
        <f>E186/(E186+I185)</f>
        <v>0.17227379018698202</v>
      </c>
      <c r="G186" s="11">
        <v>3945</v>
      </c>
      <c r="H186" s="10">
        <f t="shared" si="33"/>
        <v>0.71597096188747733</v>
      </c>
      <c r="I186" s="13">
        <v>603637</v>
      </c>
      <c r="J186" s="10">
        <f>I185/(E186+I185)</f>
        <v>0.82772620981301803</v>
      </c>
      <c r="M186" s="14"/>
    </row>
    <row r="187" spans="1:13" ht="15.75">
      <c r="B187" s="15">
        <f>SUM(B182:B186)</f>
        <v>634507</v>
      </c>
      <c r="C187" s="16">
        <f>SUM(C182:C186)</f>
        <v>83951</v>
      </c>
      <c r="D187" s="17">
        <f t="shared" si="32"/>
        <v>0.13230902101946865</v>
      </c>
      <c r="E187" s="18">
        <f>SUM(E182:E186)</f>
        <v>415900999</v>
      </c>
      <c r="F187" s="10">
        <f>E187/(E187+I187)</f>
        <v>0.51580967234846209</v>
      </c>
      <c r="G187" s="18">
        <f>SUM(G182:G186)</f>
        <v>550556</v>
      </c>
      <c r="H187" s="17">
        <f t="shared" si="33"/>
        <v>0.86769097898053138</v>
      </c>
      <c r="I187" s="18">
        <f>SUM(I182:I186)</f>
        <v>390406097</v>
      </c>
      <c r="J187" s="10">
        <f>I187/(E187+I187)</f>
        <v>0.48419032765153786</v>
      </c>
    </row>
    <row r="188" spans="1:13" ht="15.75">
      <c r="A188" s="1" t="s">
        <v>0</v>
      </c>
      <c r="B188" s="3"/>
      <c r="J188" s="3"/>
    </row>
    <row r="189" spans="1:13" ht="15.75">
      <c r="A189" s="1" t="s">
        <v>32</v>
      </c>
      <c r="B189" s="2">
        <v>2</v>
      </c>
      <c r="C189" s="2" t="s">
        <v>2</v>
      </c>
      <c r="D189" s="2"/>
      <c r="E189" s="2"/>
      <c r="F189" s="2"/>
      <c r="G189" s="2" t="s">
        <v>3</v>
      </c>
      <c r="H189" s="2"/>
      <c r="I189" s="2"/>
      <c r="J189" s="2"/>
    </row>
    <row r="190" spans="1:13">
      <c r="B190" s="4" t="s">
        <v>4</v>
      </c>
      <c r="C190" s="4" t="s">
        <v>5</v>
      </c>
      <c r="D190" s="4"/>
      <c r="E190" s="4" t="s">
        <v>6</v>
      </c>
      <c r="F190" s="5"/>
      <c r="G190" s="4" t="s">
        <v>7</v>
      </c>
      <c r="H190" s="5"/>
      <c r="I190" s="5" t="s">
        <v>6</v>
      </c>
      <c r="J190" s="5"/>
    </row>
    <row r="191" spans="1:13">
      <c r="B191" s="4" t="s">
        <v>8</v>
      </c>
      <c r="C191" s="4" t="s">
        <v>8</v>
      </c>
      <c r="D191" s="4" t="s">
        <v>9</v>
      </c>
      <c r="E191" s="4" t="s">
        <v>8</v>
      </c>
      <c r="F191" s="5" t="s">
        <v>9</v>
      </c>
      <c r="G191" s="5" t="s">
        <v>8</v>
      </c>
      <c r="H191" s="5" t="s">
        <v>9</v>
      </c>
      <c r="I191" s="5" t="s">
        <v>8</v>
      </c>
      <c r="J191" s="5" t="s">
        <v>9</v>
      </c>
    </row>
    <row r="192" spans="1:13">
      <c r="B192" s="4"/>
      <c r="C192" s="4"/>
      <c r="D192" s="4"/>
      <c r="E192" s="4"/>
      <c r="F192" s="4"/>
      <c r="G192" s="4"/>
      <c r="H192" s="4"/>
      <c r="I192" s="4"/>
      <c r="J192" s="4"/>
    </row>
    <row r="193" spans="1:13">
      <c r="A193" s="3" t="s">
        <v>10</v>
      </c>
      <c r="B193" s="6">
        <f>C193+G193</f>
        <v>582967</v>
      </c>
      <c r="C193" s="7">
        <v>60131</v>
      </c>
      <c r="D193" s="8">
        <f t="shared" ref="D193:D198" si="34">C193/B193</f>
        <v>0.10314649028161113</v>
      </c>
      <c r="E193" s="12">
        <v>39702565</v>
      </c>
      <c r="F193" s="10">
        <f>E193/(E193+I193)</f>
        <v>0.10949866525337752</v>
      </c>
      <c r="G193" s="11">
        <v>522836</v>
      </c>
      <c r="H193" s="10">
        <f t="shared" ref="H193:H198" si="35">G193/B193</f>
        <v>0.89685350971838884</v>
      </c>
      <c r="I193" s="12">
        <v>322882357</v>
      </c>
      <c r="J193" s="10">
        <f>I193/(E193+I193)</f>
        <v>0.89050133474662252</v>
      </c>
    </row>
    <row r="194" spans="1:13">
      <c r="A194" s="3" t="s">
        <v>11</v>
      </c>
      <c r="B194" s="6">
        <f>C194+G194</f>
        <v>64861</v>
      </c>
      <c r="C194" s="7">
        <v>18352</v>
      </c>
      <c r="D194" s="8">
        <f t="shared" si="34"/>
        <v>0.28294352538505418</v>
      </c>
      <c r="E194" s="12">
        <v>18665912</v>
      </c>
      <c r="F194" s="10">
        <f>E194/(E194+I194)</f>
        <v>0.2962801789435322</v>
      </c>
      <c r="G194" s="11">
        <v>46509</v>
      </c>
      <c r="H194" s="10">
        <f t="shared" si="35"/>
        <v>0.71705647461494582</v>
      </c>
      <c r="I194" s="12">
        <v>44334968</v>
      </c>
      <c r="J194" s="10">
        <f>I194/(E194+I194)</f>
        <v>0.7037198210564678</v>
      </c>
    </row>
    <row r="195" spans="1:13">
      <c r="A195" s="3" t="s">
        <v>12</v>
      </c>
      <c r="B195" s="6">
        <f>C195+G195</f>
        <v>11180</v>
      </c>
      <c r="C195" s="7">
        <v>6024</v>
      </c>
      <c r="D195" s="8">
        <f t="shared" si="34"/>
        <v>0.53881932021466905</v>
      </c>
      <c r="E195" s="12">
        <v>136436934</v>
      </c>
      <c r="F195" s="10">
        <f>E195/(E195+I195)</f>
        <v>0.69393033610877464</v>
      </c>
      <c r="G195" s="11">
        <v>5156</v>
      </c>
      <c r="H195" s="10">
        <f t="shared" si="35"/>
        <v>0.46118067978533095</v>
      </c>
      <c r="I195" s="12">
        <v>60177808</v>
      </c>
      <c r="J195" s="10">
        <f>I195/(E195+I195)</f>
        <v>0.30606966389122542</v>
      </c>
    </row>
    <row r="196" spans="1:13">
      <c r="A196" s="3" t="s">
        <v>13</v>
      </c>
      <c r="B196" s="6">
        <f>C196+G196</f>
        <v>391</v>
      </c>
      <c r="C196" s="7">
        <v>346</v>
      </c>
      <c r="D196" s="8">
        <f t="shared" si="34"/>
        <v>0.88491048593350385</v>
      </c>
      <c r="E196" s="12">
        <v>193949687</v>
      </c>
      <c r="F196" s="10">
        <f>E196/(E196+I196)</f>
        <v>0.97858841559342158</v>
      </c>
      <c r="G196" s="11">
        <v>45</v>
      </c>
      <c r="H196" s="10">
        <f t="shared" si="35"/>
        <v>0.11508951406649616</v>
      </c>
      <c r="I196" s="12">
        <v>4243633</v>
      </c>
      <c r="J196" s="10">
        <f>I196/(E196+I196)</f>
        <v>2.1411584406578386E-2</v>
      </c>
    </row>
    <row r="197" spans="1:13">
      <c r="A197" s="3" t="s">
        <v>14</v>
      </c>
      <c r="B197" s="6">
        <f>C197+G197</f>
        <v>5748</v>
      </c>
      <c r="C197" s="7">
        <v>1627</v>
      </c>
      <c r="D197" s="8">
        <f t="shared" si="34"/>
        <v>0.28305497564370213</v>
      </c>
      <c r="E197" s="12">
        <v>745295</v>
      </c>
      <c r="F197" s="10">
        <f>E197/(E197+I196)</f>
        <v>0.14938980879259031</v>
      </c>
      <c r="G197" s="11">
        <v>4121</v>
      </c>
      <c r="H197" s="10">
        <f t="shared" si="35"/>
        <v>0.71694502435629781</v>
      </c>
      <c r="I197" s="13">
        <v>519300</v>
      </c>
      <c r="J197" s="10">
        <f>I196/(E197+I196)</f>
        <v>0.85061019120740966</v>
      </c>
      <c r="M197" s="14"/>
    </row>
    <row r="198" spans="1:13" ht="15.75">
      <c r="B198" s="15">
        <f>SUM(B193:B197)</f>
        <v>665147</v>
      </c>
      <c r="C198" s="16">
        <f>SUM(C193:C197)</f>
        <v>86480</v>
      </c>
      <c r="D198" s="17">
        <f t="shared" si="34"/>
        <v>0.13001637232070504</v>
      </c>
      <c r="E198" s="18">
        <f>SUM(E193:E197)</f>
        <v>389500393</v>
      </c>
      <c r="F198" s="10">
        <f>E198/(E198+I198)</f>
        <v>0.47404172467723599</v>
      </c>
      <c r="G198" s="18">
        <f>SUM(G193:G197)</f>
        <v>578667</v>
      </c>
      <c r="H198" s="17">
        <f t="shared" si="35"/>
        <v>0.86998362767929494</v>
      </c>
      <c r="I198" s="18">
        <f>SUM(I193:I197)</f>
        <v>432158066</v>
      </c>
      <c r="J198" s="10">
        <f>I198/(E198+I198)</f>
        <v>0.52595827532276396</v>
      </c>
    </row>
    <row r="199" spans="1:13" ht="15.75">
      <c r="A199" s="1" t="s">
        <v>0</v>
      </c>
      <c r="B199" s="3"/>
      <c r="J199" s="3"/>
    </row>
    <row r="200" spans="1:13" ht="15.75">
      <c r="A200" s="1" t="s">
        <v>33</v>
      </c>
      <c r="B200" s="2">
        <v>2</v>
      </c>
      <c r="C200" s="2" t="s">
        <v>2</v>
      </c>
      <c r="D200" s="2"/>
      <c r="E200" s="2"/>
      <c r="F200" s="2"/>
      <c r="G200" s="2" t="s">
        <v>3</v>
      </c>
      <c r="H200" s="2"/>
      <c r="I200" s="2"/>
      <c r="J200" s="2"/>
    </row>
    <row r="201" spans="1:13">
      <c r="B201" s="4" t="s">
        <v>4</v>
      </c>
      <c r="C201" s="4" t="s">
        <v>5</v>
      </c>
      <c r="D201" s="4"/>
      <c r="E201" s="4" t="s">
        <v>6</v>
      </c>
      <c r="F201" s="5"/>
      <c r="G201" s="4" t="s">
        <v>7</v>
      </c>
      <c r="H201" s="5"/>
      <c r="I201" s="5" t="s">
        <v>6</v>
      </c>
      <c r="J201" s="5"/>
    </row>
    <row r="202" spans="1:13">
      <c r="B202" s="4" t="s">
        <v>8</v>
      </c>
      <c r="C202" s="4" t="s">
        <v>8</v>
      </c>
      <c r="D202" s="4" t="s">
        <v>9</v>
      </c>
      <c r="E202" s="4" t="s">
        <v>8</v>
      </c>
      <c r="F202" s="5" t="s">
        <v>9</v>
      </c>
      <c r="G202" s="5" t="s">
        <v>8</v>
      </c>
      <c r="H202" s="5" t="s">
        <v>9</v>
      </c>
      <c r="I202" s="5" t="s">
        <v>8</v>
      </c>
      <c r="J202" s="5" t="s">
        <v>9</v>
      </c>
    </row>
    <row r="203" spans="1:13">
      <c r="B203" s="4"/>
      <c r="C203" s="4"/>
      <c r="D203" s="4"/>
      <c r="E203" s="4"/>
      <c r="F203" s="4"/>
      <c r="G203" s="4"/>
      <c r="H203" s="4"/>
      <c r="I203" s="4"/>
      <c r="J203" s="4"/>
    </row>
    <row r="204" spans="1:13">
      <c r="A204" s="3" t="s">
        <v>10</v>
      </c>
      <c r="B204" s="6">
        <f>C204+G204</f>
        <v>558160</v>
      </c>
      <c r="C204" s="7">
        <v>56050</v>
      </c>
      <c r="D204" s="8">
        <f t="shared" ref="D204:D209" si="36">C204/B204</f>
        <v>0.10041923462806364</v>
      </c>
      <c r="E204" s="12">
        <v>36448445</v>
      </c>
      <c r="F204" s="10">
        <f>E204/(E204+I204)</f>
        <v>0.10607150009531419</v>
      </c>
      <c r="G204" s="11">
        <v>502110</v>
      </c>
      <c r="H204" s="10">
        <f t="shared" ref="H204:H209" si="37">G204/B204</f>
        <v>0.89958076537193632</v>
      </c>
      <c r="I204" s="12">
        <v>307173027</v>
      </c>
      <c r="J204" s="10">
        <f>I204/(E204+I204)</f>
        <v>0.89392849990468581</v>
      </c>
    </row>
    <row r="205" spans="1:13">
      <c r="A205" s="3" t="s">
        <v>11</v>
      </c>
      <c r="B205" s="6">
        <f>C205+G205</f>
        <v>61689</v>
      </c>
      <c r="C205" s="7">
        <v>17376</v>
      </c>
      <c r="D205" s="8">
        <f t="shared" si="36"/>
        <v>0.28167096240820894</v>
      </c>
      <c r="E205" s="12">
        <v>17559435</v>
      </c>
      <c r="F205" s="10">
        <f>E205/(E205+I205)</f>
        <v>0.29884991839228547</v>
      </c>
      <c r="G205" s="11">
        <v>44313</v>
      </c>
      <c r="H205" s="10">
        <f t="shared" si="37"/>
        <v>0.71832903759179112</v>
      </c>
      <c r="I205" s="12">
        <v>41197265</v>
      </c>
      <c r="J205" s="10">
        <f>I205/(E205+I205)</f>
        <v>0.70115008160771453</v>
      </c>
    </row>
    <row r="206" spans="1:13">
      <c r="A206" s="3" t="s">
        <v>12</v>
      </c>
      <c r="B206" s="6">
        <f>C206+G206</f>
        <v>10457</v>
      </c>
      <c r="C206" s="7">
        <v>5629</v>
      </c>
      <c r="D206" s="8">
        <f t="shared" si="36"/>
        <v>0.53829970354786272</v>
      </c>
      <c r="E206" s="12">
        <v>123047025</v>
      </c>
      <c r="F206" s="10">
        <f>E206/(E206+I206)</f>
        <v>0.68891870785533793</v>
      </c>
      <c r="G206" s="11">
        <v>4828</v>
      </c>
      <c r="H206" s="10">
        <f t="shared" si="37"/>
        <v>0.46170029645213734</v>
      </c>
      <c r="I206" s="12">
        <v>55561893</v>
      </c>
      <c r="J206" s="10">
        <f>I206/(E206+I206)</f>
        <v>0.31108129214466212</v>
      </c>
    </row>
    <row r="207" spans="1:13">
      <c r="A207" s="3" t="s">
        <v>13</v>
      </c>
      <c r="B207" s="6">
        <f>C207+G207</f>
        <v>356</v>
      </c>
      <c r="C207" s="7">
        <v>314</v>
      </c>
      <c r="D207" s="8">
        <f t="shared" si="36"/>
        <v>0.8820224719101124</v>
      </c>
      <c r="E207" s="12">
        <v>182102564</v>
      </c>
      <c r="F207" s="10">
        <f>E207/(E207+I207)</f>
        <v>0.97793921036091869</v>
      </c>
      <c r="G207" s="11">
        <v>42</v>
      </c>
      <c r="H207" s="10">
        <f t="shared" si="37"/>
        <v>0.11797752808988764</v>
      </c>
      <c r="I207" s="12">
        <v>4107951</v>
      </c>
      <c r="J207" s="10">
        <f>I207/(E207+I207)</f>
        <v>2.2060789639081337E-2</v>
      </c>
    </row>
    <row r="208" spans="1:13">
      <c r="A208" s="3" t="s">
        <v>14</v>
      </c>
      <c r="B208" s="6">
        <f>C208+G208</f>
        <v>5521</v>
      </c>
      <c r="C208" s="7">
        <v>1533</v>
      </c>
      <c r="D208" s="8">
        <f t="shared" si="36"/>
        <v>0.2776670892954175</v>
      </c>
      <c r="E208" s="12">
        <v>687868</v>
      </c>
      <c r="F208" s="10">
        <f>E208/(E208+I207)</f>
        <v>0.14343076750811487</v>
      </c>
      <c r="G208" s="11">
        <v>3988</v>
      </c>
      <c r="H208" s="10">
        <f t="shared" si="37"/>
        <v>0.7223329107045825</v>
      </c>
      <c r="I208" s="13">
        <v>481115</v>
      </c>
      <c r="J208" s="10">
        <f>I207/(E208+I207)</f>
        <v>0.8565692324918851</v>
      </c>
      <c r="M208" s="14"/>
    </row>
    <row r="209" spans="1:13" ht="15.75">
      <c r="B209" s="15">
        <f>SUM(B204:B208)</f>
        <v>636183</v>
      </c>
      <c r="C209" s="16">
        <f>SUM(C204:C208)</f>
        <v>80902</v>
      </c>
      <c r="D209" s="17">
        <f t="shared" si="36"/>
        <v>0.12716781177742884</v>
      </c>
      <c r="E209" s="18">
        <f>SUM(E204:E208)</f>
        <v>359845337</v>
      </c>
      <c r="F209" s="10">
        <f>E209/(E209+I209)</f>
        <v>0.46832507115731065</v>
      </c>
      <c r="G209" s="18">
        <f>SUM(G204:G208)</f>
        <v>555281</v>
      </c>
      <c r="H209" s="17">
        <f t="shared" si="37"/>
        <v>0.87283218822257114</v>
      </c>
      <c r="I209" s="18">
        <f>SUM(I204:I208)</f>
        <v>408521251</v>
      </c>
      <c r="J209" s="10">
        <f>I209/(E209+I209)</f>
        <v>0.5316749288426893</v>
      </c>
    </row>
    <row r="210" spans="1:13" ht="15.75">
      <c r="A210" s="1" t="s">
        <v>0</v>
      </c>
      <c r="B210" s="3"/>
      <c r="J210" s="3"/>
    </row>
    <row r="211" spans="1:13" ht="15.75">
      <c r="A211" s="1" t="s">
        <v>34</v>
      </c>
      <c r="B211" s="2">
        <v>2</v>
      </c>
      <c r="C211" s="2" t="s">
        <v>2</v>
      </c>
      <c r="D211" s="2"/>
      <c r="E211" s="2"/>
      <c r="F211" s="2"/>
      <c r="G211" s="2" t="s">
        <v>3</v>
      </c>
      <c r="H211" s="2"/>
      <c r="I211" s="2"/>
      <c r="J211" s="2"/>
    </row>
    <row r="212" spans="1:13">
      <c r="B212" s="4" t="s">
        <v>4</v>
      </c>
      <c r="C212" s="4" t="s">
        <v>5</v>
      </c>
      <c r="D212" s="4"/>
      <c r="E212" s="4" t="s">
        <v>6</v>
      </c>
      <c r="F212" s="5"/>
      <c r="G212" s="4" t="s">
        <v>7</v>
      </c>
      <c r="H212" s="5"/>
      <c r="I212" s="5" t="s">
        <v>6</v>
      </c>
      <c r="J212" s="5"/>
    </row>
    <row r="213" spans="1:13">
      <c r="B213" s="4" t="s">
        <v>8</v>
      </c>
      <c r="C213" s="4" t="s">
        <v>8</v>
      </c>
      <c r="D213" s="4" t="s">
        <v>9</v>
      </c>
      <c r="E213" s="4" t="s">
        <v>8</v>
      </c>
      <c r="F213" s="5" t="s">
        <v>9</v>
      </c>
      <c r="G213" s="5" t="s">
        <v>8</v>
      </c>
      <c r="H213" s="5" t="s">
        <v>9</v>
      </c>
      <c r="I213" s="5" t="s">
        <v>8</v>
      </c>
      <c r="J213" s="5" t="s">
        <v>9</v>
      </c>
    </row>
    <row r="214" spans="1:13">
      <c r="B214" s="4"/>
      <c r="C214" s="4"/>
      <c r="D214" s="4"/>
      <c r="E214" s="4"/>
      <c r="F214" s="4"/>
      <c r="G214" s="4"/>
      <c r="H214" s="4"/>
      <c r="I214" s="4"/>
      <c r="J214" s="4"/>
    </row>
    <row r="215" spans="1:13">
      <c r="A215" s="3" t="s">
        <v>10</v>
      </c>
      <c r="B215" s="6">
        <f>C215+G215</f>
        <v>581592</v>
      </c>
      <c r="C215" s="7">
        <v>55870</v>
      </c>
      <c r="D215" s="8">
        <f t="shared" ref="D215:D220" si="38">C215/B215</f>
        <v>9.6063907343979973E-2</v>
      </c>
      <c r="E215" s="12">
        <v>28432038</v>
      </c>
      <c r="F215" s="10">
        <f>E215/(E215+I215)</f>
        <v>0.10141428943120129</v>
      </c>
      <c r="G215" s="11">
        <v>525722</v>
      </c>
      <c r="H215" s="10">
        <f t="shared" ref="H215:H220" si="39">G215/B215</f>
        <v>0.90393609265602004</v>
      </c>
      <c r="I215" s="12">
        <v>251923306</v>
      </c>
      <c r="J215" s="10">
        <f>I215/(E215+I215)</f>
        <v>0.89858571056879877</v>
      </c>
    </row>
    <row r="216" spans="1:13">
      <c r="A216" s="3" t="s">
        <v>11</v>
      </c>
      <c r="B216" s="6">
        <f>C216+G216</f>
        <v>64056</v>
      </c>
      <c r="C216" s="7">
        <v>17755</v>
      </c>
      <c r="D216" s="8">
        <f t="shared" si="38"/>
        <v>0.27717934307480951</v>
      </c>
      <c r="E216" s="12">
        <v>15356883</v>
      </c>
      <c r="F216" s="10">
        <f>E216/(E216+I216)</f>
        <v>0.30327123081662044</v>
      </c>
      <c r="G216" s="11">
        <v>46301</v>
      </c>
      <c r="H216" s="10">
        <f t="shared" si="39"/>
        <v>0.72282065692519049</v>
      </c>
      <c r="I216" s="12">
        <v>35280571</v>
      </c>
      <c r="J216" s="10">
        <f>I216/(E216+I216)</f>
        <v>0.69672876918337956</v>
      </c>
    </row>
    <row r="217" spans="1:13">
      <c r="A217" s="3" t="s">
        <v>12</v>
      </c>
      <c r="B217" s="6">
        <f>C217+G217</f>
        <v>11077</v>
      </c>
      <c r="C217" s="7">
        <v>5853</v>
      </c>
      <c r="D217" s="8">
        <f t="shared" si="38"/>
        <v>0.5283921639433059</v>
      </c>
      <c r="E217" s="12">
        <v>114207516</v>
      </c>
      <c r="F217" s="10">
        <f>E217/(E217+I217)</f>
        <v>0.69472479084168204</v>
      </c>
      <c r="G217" s="11">
        <v>5224</v>
      </c>
      <c r="H217" s="10">
        <f t="shared" si="39"/>
        <v>0.47160783605669404</v>
      </c>
      <c r="I217" s="12">
        <v>50184942</v>
      </c>
      <c r="J217" s="10">
        <f>I217/(E217+I217)</f>
        <v>0.30527520915831796</v>
      </c>
    </row>
    <row r="218" spans="1:13">
      <c r="A218" s="3" t="s">
        <v>13</v>
      </c>
      <c r="B218" s="6">
        <f>C218+G218</f>
        <v>399</v>
      </c>
      <c r="C218" s="7">
        <v>352</v>
      </c>
      <c r="D218" s="8">
        <f t="shared" si="38"/>
        <v>0.8822055137844611</v>
      </c>
      <c r="E218" s="12">
        <v>205402483</v>
      </c>
      <c r="F218" s="10">
        <f>E218/(E218+I218)</f>
        <v>0.97294707416159631</v>
      </c>
      <c r="G218" s="11">
        <v>47</v>
      </c>
      <c r="H218" s="10">
        <f t="shared" si="39"/>
        <v>0.11779448621553884</v>
      </c>
      <c r="I218" s="12">
        <v>5711244</v>
      </c>
      <c r="J218" s="10">
        <f>I218/(E218+I218)</f>
        <v>2.7052925838403678E-2</v>
      </c>
    </row>
    <row r="219" spans="1:13">
      <c r="A219" s="3" t="s">
        <v>14</v>
      </c>
      <c r="B219" s="6">
        <f>C219+G219</f>
        <v>5736</v>
      </c>
      <c r="C219" s="7">
        <v>1570</v>
      </c>
      <c r="D219" s="8">
        <f t="shared" si="38"/>
        <v>0.27370990237099024</v>
      </c>
      <c r="E219" s="12">
        <v>644945</v>
      </c>
      <c r="F219" s="10">
        <f>E219/(E219+I218)</f>
        <v>0.10146724711930372</v>
      </c>
      <c r="G219" s="11">
        <v>4166</v>
      </c>
      <c r="H219" s="10">
        <f t="shared" si="39"/>
        <v>0.72629009762900976</v>
      </c>
      <c r="I219" s="13">
        <v>477559</v>
      </c>
      <c r="J219" s="10">
        <f>I218/(E219+I218)</f>
        <v>0.89853275288069623</v>
      </c>
      <c r="M219" s="14"/>
    </row>
    <row r="220" spans="1:13" ht="15.75">
      <c r="B220" s="15">
        <f>SUM(B215:B219)</f>
        <v>662860</v>
      </c>
      <c r="C220" s="16">
        <f>SUM(C215:C219)</f>
        <v>81400</v>
      </c>
      <c r="D220" s="17">
        <f t="shared" si="38"/>
        <v>0.12280119482243611</v>
      </c>
      <c r="E220" s="18">
        <f>SUM(E215:E219)</f>
        <v>364043865</v>
      </c>
      <c r="F220" s="10">
        <f>E220/(E220+I220)</f>
        <v>0.51446129277869146</v>
      </c>
      <c r="G220" s="18">
        <f>SUM(G215:G219)</f>
        <v>581460</v>
      </c>
      <c r="H220" s="17">
        <f t="shared" si="39"/>
        <v>0.87719880517756388</v>
      </c>
      <c r="I220" s="18">
        <f>SUM(I215:I219)</f>
        <v>343577622</v>
      </c>
      <c r="J220" s="10">
        <f>I220/(E220+I220)</f>
        <v>0.48553870722130854</v>
      </c>
    </row>
    <row r="221" spans="1:13" ht="15.75">
      <c r="A221" s="1" t="s">
        <v>0</v>
      </c>
      <c r="B221" s="3"/>
      <c r="J221" s="3"/>
    </row>
    <row r="222" spans="1:13" ht="15.75">
      <c r="A222" s="1" t="s">
        <v>35</v>
      </c>
      <c r="B222" s="2">
        <v>2</v>
      </c>
      <c r="C222" s="2" t="s">
        <v>2</v>
      </c>
      <c r="D222" s="2"/>
      <c r="E222" s="2"/>
      <c r="F222" s="2"/>
      <c r="G222" s="2" t="s">
        <v>3</v>
      </c>
      <c r="H222" s="2"/>
      <c r="I222" s="2"/>
      <c r="J222" s="2"/>
    </row>
    <row r="223" spans="1:13">
      <c r="B223" s="4" t="s">
        <v>4</v>
      </c>
      <c r="C223" s="4" t="s">
        <v>5</v>
      </c>
      <c r="D223" s="4"/>
      <c r="E223" s="4" t="s">
        <v>6</v>
      </c>
      <c r="F223" s="5"/>
      <c r="G223" s="4" t="s">
        <v>7</v>
      </c>
      <c r="H223" s="5"/>
      <c r="I223" s="5" t="s">
        <v>6</v>
      </c>
      <c r="J223" s="5"/>
    </row>
    <row r="224" spans="1:13">
      <c r="B224" s="4" t="s">
        <v>8</v>
      </c>
      <c r="C224" s="4" t="s">
        <v>8</v>
      </c>
      <c r="D224" s="4" t="s">
        <v>9</v>
      </c>
      <c r="E224" s="4" t="s">
        <v>8</v>
      </c>
      <c r="F224" s="5" t="s">
        <v>9</v>
      </c>
      <c r="G224" s="5" t="s">
        <v>8</v>
      </c>
      <c r="H224" s="5" t="s">
        <v>9</v>
      </c>
      <c r="I224" s="5" t="s">
        <v>8</v>
      </c>
      <c r="J224" s="5" t="s">
        <v>9</v>
      </c>
    </row>
    <row r="225" spans="1:13">
      <c r="B225" s="4"/>
      <c r="C225" s="4"/>
      <c r="D225" s="4"/>
      <c r="E225" s="4"/>
      <c r="F225" s="4"/>
      <c r="G225" s="4"/>
      <c r="H225" s="4"/>
      <c r="I225" s="4"/>
      <c r="J225" s="4"/>
    </row>
    <row r="226" spans="1:13">
      <c r="A226" s="3" t="s">
        <v>10</v>
      </c>
      <c r="B226" s="6">
        <f>C226+G226</f>
        <v>582425</v>
      </c>
      <c r="C226" s="7">
        <v>52636</v>
      </c>
      <c r="D226" s="8">
        <f t="shared" ref="D226:D231" si="40">C226/B226</f>
        <v>9.0373867879984554E-2</v>
      </c>
      <c r="E226" s="12">
        <v>26964720</v>
      </c>
      <c r="F226" s="10">
        <f>E226/(E226+I226)</f>
        <v>9.2375006847691787E-2</v>
      </c>
      <c r="G226" s="11">
        <v>529789</v>
      </c>
      <c r="H226" s="10">
        <f t="shared" ref="H226:H231" si="41">G226/B226</f>
        <v>0.90962613212001542</v>
      </c>
      <c r="I226" s="12">
        <v>264940211</v>
      </c>
      <c r="J226" s="10">
        <f>I226/(E226+I226)</f>
        <v>0.90762499315230816</v>
      </c>
    </row>
    <row r="227" spans="1:13">
      <c r="A227" s="3" t="s">
        <v>11</v>
      </c>
      <c r="B227" s="6">
        <f>C227+G227</f>
        <v>64194</v>
      </c>
      <c r="C227" s="7">
        <v>17641</v>
      </c>
      <c r="D227" s="8">
        <f t="shared" si="40"/>
        <v>0.27480761441879303</v>
      </c>
      <c r="E227" s="12">
        <v>14962000</v>
      </c>
      <c r="F227" s="10">
        <f>E227/(E227+I227)</f>
        <v>0.29671935130748184</v>
      </c>
      <c r="G227" s="11">
        <v>46553</v>
      </c>
      <c r="H227" s="10">
        <f t="shared" si="41"/>
        <v>0.72519238558120702</v>
      </c>
      <c r="I227" s="12">
        <v>35462753</v>
      </c>
      <c r="J227" s="10">
        <f>I227/(E227+I227)</f>
        <v>0.70328064869251816</v>
      </c>
    </row>
    <row r="228" spans="1:13">
      <c r="A228" s="3" t="s">
        <v>12</v>
      </c>
      <c r="B228" s="6">
        <f>C228+G228</f>
        <v>11145</v>
      </c>
      <c r="C228" s="7">
        <v>5787</v>
      </c>
      <c r="D228" s="8">
        <f t="shared" si="40"/>
        <v>0.51924629878869444</v>
      </c>
      <c r="E228" s="12">
        <v>111744651</v>
      </c>
      <c r="F228" s="10">
        <f>E228/(E228+I228)</f>
        <v>0.68912752076181594</v>
      </c>
      <c r="G228" s="11">
        <v>5358</v>
      </c>
      <c r="H228" s="10">
        <f t="shared" si="41"/>
        <v>0.48075370121130551</v>
      </c>
      <c r="I228" s="12">
        <v>50409156</v>
      </c>
      <c r="J228" s="10">
        <f>I228/(E228+I228)</f>
        <v>0.31087247923818401</v>
      </c>
    </row>
    <row r="229" spans="1:13">
      <c r="A229" s="3" t="s">
        <v>13</v>
      </c>
      <c r="B229" s="6">
        <f>C229+G229</f>
        <v>407</v>
      </c>
      <c r="C229" s="7">
        <v>357</v>
      </c>
      <c r="D229" s="8">
        <f t="shared" si="40"/>
        <v>0.87714987714987713</v>
      </c>
      <c r="E229" s="12">
        <v>190863240</v>
      </c>
      <c r="F229" s="10">
        <f>E229/(E229+I229)</f>
        <v>0.97639518510393497</v>
      </c>
      <c r="G229" s="11">
        <v>50</v>
      </c>
      <c r="H229" s="10">
        <f t="shared" si="41"/>
        <v>0.12285012285012285</v>
      </c>
      <c r="I229" s="12">
        <v>4614209</v>
      </c>
      <c r="J229" s="10">
        <f>I229/(E229+I229)</f>
        <v>2.3604814896065071E-2</v>
      </c>
    </row>
    <row r="230" spans="1:13">
      <c r="A230" s="3" t="s">
        <v>14</v>
      </c>
      <c r="B230" s="6">
        <f>C230+G230</f>
        <v>5775</v>
      </c>
      <c r="C230" s="7">
        <v>1547</v>
      </c>
      <c r="D230" s="8">
        <f t="shared" si="40"/>
        <v>0.26787878787878788</v>
      </c>
      <c r="E230" s="12">
        <v>1188391</v>
      </c>
      <c r="F230" s="10">
        <f>E230/(E230+I229)</f>
        <v>0.20480319167269845</v>
      </c>
      <c r="G230" s="11">
        <v>4228</v>
      </c>
      <c r="H230" s="10">
        <f t="shared" si="41"/>
        <v>0.73212121212121217</v>
      </c>
      <c r="I230" s="13">
        <v>690301</v>
      </c>
      <c r="J230" s="10">
        <f>I229/(E230+I229)</f>
        <v>0.79519680832730155</v>
      </c>
      <c r="M230" s="14"/>
    </row>
    <row r="231" spans="1:13" ht="15.75">
      <c r="B231" s="15">
        <f>SUM(B226:B230)</f>
        <v>663946</v>
      </c>
      <c r="C231" s="16">
        <f>SUM(C226:C230)</f>
        <v>77968</v>
      </c>
      <c r="D231" s="17">
        <f t="shared" si="40"/>
        <v>0.11743123687769788</v>
      </c>
      <c r="E231" s="18">
        <f>SUM(E226:E230)</f>
        <v>345723002</v>
      </c>
      <c r="F231" s="10">
        <f>E231/(E231+I231)</f>
        <v>0.4925954395234266</v>
      </c>
      <c r="G231" s="18">
        <f>SUM(G226:G230)</f>
        <v>585978</v>
      </c>
      <c r="H231" s="17">
        <f t="shared" si="41"/>
        <v>0.88256876312230215</v>
      </c>
      <c r="I231" s="18">
        <f>SUM(I226:I230)</f>
        <v>356116630</v>
      </c>
      <c r="J231" s="10">
        <f>I231/(E231+I231)</f>
        <v>0.50740456047657334</v>
      </c>
    </row>
    <row r="232" spans="1:13" ht="15.75">
      <c r="A232" s="1" t="s">
        <v>0</v>
      </c>
      <c r="B232" s="3"/>
      <c r="J232" s="3"/>
    </row>
    <row r="233" spans="1:13" ht="15.75">
      <c r="A233" s="1" t="s">
        <v>36</v>
      </c>
      <c r="B233" s="2">
        <v>2</v>
      </c>
      <c r="C233" s="2" t="s">
        <v>2</v>
      </c>
      <c r="D233" s="2"/>
      <c r="E233" s="2"/>
      <c r="F233" s="2"/>
      <c r="G233" s="2" t="s">
        <v>3</v>
      </c>
      <c r="H233" s="2"/>
      <c r="I233" s="2"/>
      <c r="J233" s="2"/>
    </row>
    <row r="234" spans="1:13">
      <c r="B234" s="4" t="s">
        <v>4</v>
      </c>
      <c r="C234" s="4" t="s">
        <v>5</v>
      </c>
      <c r="D234" s="4"/>
      <c r="E234" s="4" t="s">
        <v>6</v>
      </c>
      <c r="F234" s="5"/>
      <c r="G234" s="4" t="s">
        <v>7</v>
      </c>
      <c r="H234" s="5"/>
      <c r="I234" s="5" t="s">
        <v>6</v>
      </c>
      <c r="J234" s="5"/>
    </row>
    <row r="235" spans="1:13">
      <c r="B235" s="4" t="s">
        <v>8</v>
      </c>
      <c r="C235" s="4" t="s">
        <v>8</v>
      </c>
      <c r="D235" s="4" t="s">
        <v>9</v>
      </c>
      <c r="E235" s="4" t="s">
        <v>8</v>
      </c>
      <c r="F235" s="5" t="s">
        <v>9</v>
      </c>
      <c r="G235" s="5" t="s">
        <v>8</v>
      </c>
      <c r="H235" s="5" t="s">
        <v>9</v>
      </c>
      <c r="I235" s="5" t="s">
        <v>8</v>
      </c>
      <c r="J235" s="5" t="s">
        <v>9</v>
      </c>
    </row>
    <row r="236" spans="1:13">
      <c r="B236" s="4"/>
      <c r="C236" s="4"/>
      <c r="D236" s="4"/>
      <c r="E236" s="4"/>
      <c r="F236" s="4"/>
      <c r="G236" s="4"/>
      <c r="H236" s="4"/>
      <c r="I236" s="4"/>
      <c r="J236" s="4"/>
    </row>
    <row r="237" spans="1:13">
      <c r="A237" s="3" t="s">
        <v>10</v>
      </c>
      <c r="B237" s="6">
        <f>C237+G237</f>
        <v>526271</v>
      </c>
      <c r="C237" s="7">
        <v>44083</v>
      </c>
      <c r="D237" s="8">
        <f t="shared" ref="D237:D242" si="42">C237/B237</f>
        <v>8.3764828386895723E-2</v>
      </c>
      <c r="E237" s="12">
        <v>24749544</v>
      </c>
      <c r="F237" s="10">
        <f>E237/(E237+I237)</f>
        <v>8.1714660177612905E-2</v>
      </c>
      <c r="G237" s="11">
        <v>482188</v>
      </c>
      <c r="H237" s="10">
        <f t="shared" ref="H237:H242" si="43">G237/B237</f>
        <v>0.9162351716131043</v>
      </c>
      <c r="I237" s="12">
        <v>278128103</v>
      </c>
      <c r="J237" s="10">
        <f>I237/(E237+I237)</f>
        <v>0.91828533982238714</v>
      </c>
    </row>
    <row r="238" spans="1:13">
      <c r="A238" s="3" t="s">
        <v>11</v>
      </c>
      <c r="B238" s="6">
        <f>C238+G238</f>
        <v>57728</v>
      </c>
      <c r="C238" s="7">
        <v>15526</v>
      </c>
      <c r="D238" s="8">
        <f t="shared" si="42"/>
        <v>0.26895094235033257</v>
      </c>
      <c r="E238" s="12">
        <v>14119638</v>
      </c>
      <c r="F238" s="10">
        <f>E238/(E238+I238)</f>
        <v>0.28430105120189841</v>
      </c>
      <c r="G238" s="11">
        <v>42202</v>
      </c>
      <c r="H238" s="10">
        <f t="shared" si="43"/>
        <v>0.73104905764966743</v>
      </c>
      <c r="I238" s="12">
        <v>35544751</v>
      </c>
      <c r="J238" s="10">
        <f>I238/(E238+I238)</f>
        <v>0.71569894879810159</v>
      </c>
    </row>
    <row r="239" spans="1:13">
      <c r="A239" s="3" t="s">
        <v>12</v>
      </c>
      <c r="B239" s="6">
        <f>C239+G239</f>
        <v>9936</v>
      </c>
      <c r="C239" s="7">
        <v>5073</v>
      </c>
      <c r="D239" s="8">
        <f t="shared" si="42"/>
        <v>0.51056763285024154</v>
      </c>
      <c r="E239" s="12">
        <v>100545031</v>
      </c>
      <c r="F239" s="10">
        <f>E239/(E239+I239)</f>
        <v>0.68730289820733115</v>
      </c>
      <c r="G239" s="11">
        <v>4863</v>
      </c>
      <c r="H239" s="10">
        <f t="shared" si="43"/>
        <v>0.48943236714975846</v>
      </c>
      <c r="I239" s="12">
        <v>45744227</v>
      </c>
      <c r="J239" s="10">
        <f>I239/(E239+I239)</f>
        <v>0.31269710179266885</v>
      </c>
    </row>
    <row r="240" spans="1:13">
      <c r="A240" s="3" t="s">
        <v>13</v>
      </c>
      <c r="B240" s="6">
        <f>C240+G240</f>
        <v>351</v>
      </c>
      <c r="C240" s="7">
        <v>312</v>
      </c>
      <c r="D240" s="8">
        <f t="shared" si="42"/>
        <v>0.88888888888888884</v>
      </c>
      <c r="E240" s="12">
        <v>146963746</v>
      </c>
      <c r="F240" s="10">
        <f>E240/(E240+I240)</f>
        <v>0.9760431480834364</v>
      </c>
      <c r="G240" s="11">
        <v>39</v>
      </c>
      <c r="H240" s="10">
        <f t="shared" si="43"/>
        <v>0.1111111111111111</v>
      </c>
      <c r="I240" s="12">
        <v>3607206</v>
      </c>
      <c r="J240" s="10">
        <f>I240/(E240+I240)</f>
        <v>2.3956851916563562E-2</v>
      </c>
    </row>
    <row r="241" spans="1:13">
      <c r="A241" s="3" t="s">
        <v>14</v>
      </c>
      <c r="B241" s="6">
        <f>C241+G241</f>
        <v>4954</v>
      </c>
      <c r="C241" s="7">
        <v>1227</v>
      </c>
      <c r="D241" s="8">
        <f t="shared" si="42"/>
        <v>0.24767864352038757</v>
      </c>
      <c r="E241" s="12">
        <v>391103</v>
      </c>
      <c r="F241" s="10">
        <f>E241/(E241+I240)</f>
        <v>9.7817102179946575E-2</v>
      </c>
      <c r="G241" s="11">
        <v>3727</v>
      </c>
      <c r="H241" s="10">
        <f t="shared" si="43"/>
        <v>0.7523213564796124</v>
      </c>
      <c r="I241" s="13">
        <v>462639</v>
      </c>
      <c r="J241" s="10">
        <f>I240/(E241+I240)</f>
        <v>0.90218289782005345</v>
      </c>
      <c r="M241" s="14"/>
    </row>
    <row r="242" spans="1:13" ht="15.75">
      <c r="B242" s="15">
        <f>SUM(B237:B241)</f>
        <v>599240</v>
      </c>
      <c r="C242" s="16">
        <f>SUM(C237:C241)</f>
        <v>66221</v>
      </c>
      <c r="D242" s="17">
        <f t="shared" si="42"/>
        <v>0.11050831052666711</v>
      </c>
      <c r="E242" s="18">
        <f>SUM(E237:E241)</f>
        <v>286769062</v>
      </c>
      <c r="F242" s="10">
        <f>E242/(E242+I242)</f>
        <v>0.44100949055774014</v>
      </c>
      <c r="G242" s="18">
        <f>SUM(G237:G241)</f>
        <v>533019</v>
      </c>
      <c r="H242" s="17">
        <f t="shared" si="43"/>
        <v>0.8894916894733329</v>
      </c>
      <c r="I242" s="18">
        <f>SUM(I237:I241)</f>
        <v>363486926</v>
      </c>
      <c r="J242" s="10">
        <f>I242/(E242+I242)</f>
        <v>0.55899050944225981</v>
      </c>
    </row>
    <row r="243" spans="1:13" ht="15.75">
      <c r="A243" s="1" t="s">
        <v>0</v>
      </c>
      <c r="B243" s="3"/>
      <c r="J243" s="3"/>
    </row>
    <row r="244" spans="1:13" ht="15.75">
      <c r="A244" s="1" t="s">
        <v>37</v>
      </c>
      <c r="B244" s="2">
        <v>2</v>
      </c>
      <c r="C244" s="2" t="s">
        <v>2</v>
      </c>
      <c r="D244" s="2"/>
      <c r="E244" s="2"/>
      <c r="F244" s="2"/>
      <c r="G244" s="2" t="s">
        <v>3</v>
      </c>
      <c r="H244" s="2"/>
      <c r="I244" s="2"/>
      <c r="J244" s="2"/>
    </row>
    <row r="245" spans="1:13">
      <c r="B245" s="4" t="s">
        <v>4</v>
      </c>
      <c r="C245" s="4" t="s">
        <v>5</v>
      </c>
      <c r="D245" s="4"/>
      <c r="E245" s="4" t="s">
        <v>6</v>
      </c>
      <c r="F245" s="5"/>
      <c r="G245" s="4" t="s">
        <v>7</v>
      </c>
      <c r="H245" s="5"/>
      <c r="I245" s="5" t="s">
        <v>6</v>
      </c>
      <c r="J245" s="5"/>
    </row>
    <row r="246" spans="1:13">
      <c r="B246" s="4" t="s">
        <v>8</v>
      </c>
      <c r="C246" s="4" t="s">
        <v>8</v>
      </c>
      <c r="D246" s="4" t="s">
        <v>9</v>
      </c>
      <c r="E246" s="4" t="s">
        <v>8</v>
      </c>
      <c r="F246" s="5" t="s">
        <v>9</v>
      </c>
      <c r="G246" s="5" t="s">
        <v>8</v>
      </c>
      <c r="H246" s="5" t="s">
        <v>9</v>
      </c>
      <c r="I246" s="5" t="s">
        <v>8</v>
      </c>
      <c r="J246" s="5" t="s">
        <v>9</v>
      </c>
    </row>
    <row r="247" spans="1:13">
      <c r="B247" s="4"/>
      <c r="C247" s="4"/>
      <c r="D247" s="4"/>
      <c r="E247" s="4"/>
      <c r="F247" s="4"/>
      <c r="G247" s="4"/>
      <c r="H247" s="4"/>
      <c r="I247" s="4"/>
      <c r="J247" s="4"/>
    </row>
    <row r="248" spans="1:13">
      <c r="A248" s="3" t="s">
        <v>10</v>
      </c>
      <c r="B248" s="6">
        <f>C248+G248</f>
        <v>581806</v>
      </c>
      <c r="C248" s="7">
        <v>47950</v>
      </c>
      <c r="D248" s="8">
        <f t="shared" ref="D248:D253" si="44">C248/B248</f>
        <v>8.2415788080562935E-2</v>
      </c>
      <c r="E248" s="12">
        <v>29901196</v>
      </c>
      <c r="F248" s="10">
        <f>E248/(E248+I248)</f>
        <v>7.5983885829584055E-2</v>
      </c>
      <c r="G248" s="11">
        <v>533856</v>
      </c>
      <c r="H248" s="10">
        <f t="shared" ref="H248:H253" si="45">G248/B248</f>
        <v>0.91758421191943706</v>
      </c>
      <c r="I248" s="12">
        <v>363619031</v>
      </c>
      <c r="J248" s="10">
        <f>I248/(E248+I248)</f>
        <v>0.92401611417041596</v>
      </c>
    </row>
    <row r="249" spans="1:13">
      <c r="A249" s="3" t="s">
        <v>11</v>
      </c>
      <c r="B249" s="6">
        <f>C249+G249</f>
        <v>63866</v>
      </c>
      <c r="C249" s="7">
        <v>16793</v>
      </c>
      <c r="D249" s="8">
        <f t="shared" si="44"/>
        <v>0.2629411580496665</v>
      </c>
      <c r="E249" s="12">
        <v>16773224</v>
      </c>
      <c r="F249" s="10">
        <f>E249/(E249+I249)</f>
        <v>0.26900346237297562</v>
      </c>
      <c r="G249" s="11">
        <v>47073</v>
      </c>
      <c r="H249" s="10">
        <f t="shared" si="45"/>
        <v>0.73705884195033355</v>
      </c>
      <c r="I249" s="12">
        <v>45579966</v>
      </c>
      <c r="J249" s="10">
        <f>I249/(E249+I249)</f>
        <v>0.73099653762702432</v>
      </c>
    </row>
    <row r="250" spans="1:13">
      <c r="A250" s="3" t="s">
        <v>12</v>
      </c>
      <c r="B250" s="6">
        <f>C250+G250</f>
        <v>11220</v>
      </c>
      <c r="C250" s="7">
        <v>5539</v>
      </c>
      <c r="D250" s="8">
        <f t="shared" si="44"/>
        <v>0.49367201426024954</v>
      </c>
      <c r="E250" s="12">
        <v>114434044</v>
      </c>
      <c r="F250" s="10">
        <f>E250/(E250+I250)</f>
        <v>0.65735071873300854</v>
      </c>
      <c r="G250" s="11">
        <v>5681</v>
      </c>
      <c r="H250" s="10">
        <f t="shared" si="45"/>
        <v>0.50632798573975046</v>
      </c>
      <c r="I250" s="12">
        <v>59649654</v>
      </c>
      <c r="J250" s="10">
        <f>I250/(E250+I250)</f>
        <v>0.34264928126699146</v>
      </c>
    </row>
    <row r="251" spans="1:13">
      <c r="A251" s="3" t="s">
        <v>13</v>
      </c>
      <c r="B251" s="6">
        <f>C251+G251</f>
        <v>405</v>
      </c>
      <c r="C251" s="7">
        <v>352</v>
      </c>
      <c r="D251" s="8">
        <f t="shared" si="44"/>
        <v>0.8691358024691358</v>
      </c>
      <c r="E251" s="12">
        <v>201872044</v>
      </c>
      <c r="F251" s="10">
        <f>E251/(E251+I251)</f>
        <v>0.97186879233038015</v>
      </c>
      <c r="G251" s="11">
        <v>53</v>
      </c>
      <c r="H251" s="10">
        <f t="shared" si="45"/>
        <v>0.1308641975308642</v>
      </c>
      <c r="I251" s="12">
        <v>5843283</v>
      </c>
      <c r="J251" s="10">
        <f>I251/(E251+I251)</f>
        <v>2.8131207669619875E-2</v>
      </c>
    </row>
    <row r="252" spans="1:13">
      <c r="A252" s="3" t="s">
        <v>14</v>
      </c>
      <c r="B252" s="6">
        <f>C252+G252</f>
        <v>5778</v>
      </c>
      <c r="C252" s="7">
        <v>1471</v>
      </c>
      <c r="D252" s="8">
        <f t="shared" si="44"/>
        <v>0.25458636206299756</v>
      </c>
      <c r="E252" s="12">
        <v>1503667</v>
      </c>
      <c r="F252" s="10">
        <f>E252/(E252+I251)</f>
        <v>0.20466547342774893</v>
      </c>
      <c r="G252" s="11">
        <v>4307</v>
      </c>
      <c r="H252" s="10">
        <f t="shared" si="45"/>
        <v>0.74541363793700244</v>
      </c>
      <c r="I252" s="13">
        <v>880922</v>
      </c>
      <c r="J252" s="10">
        <f>I251/(E252+I251)</f>
        <v>0.79533452657225112</v>
      </c>
      <c r="M252" s="14"/>
    </row>
    <row r="253" spans="1:13" ht="15.75">
      <c r="B253" s="15">
        <f>SUM(B248:B252)</f>
        <v>663075</v>
      </c>
      <c r="C253" s="16">
        <f>SUM(C248:C252)</f>
        <v>72105</v>
      </c>
      <c r="D253" s="17">
        <f t="shared" si="44"/>
        <v>0.10874335482411492</v>
      </c>
      <c r="E253" s="18">
        <f>SUM(E248:E252)</f>
        <v>364484175</v>
      </c>
      <c r="F253" s="10">
        <f>E253/(E253+I253)</f>
        <v>0.43388027425485592</v>
      </c>
      <c r="G253" s="18">
        <f>SUM(G248:G252)</f>
        <v>590970</v>
      </c>
      <c r="H253" s="17">
        <f t="shared" si="45"/>
        <v>0.8912566451758851</v>
      </c>
      <c r="I253" s="18">
        <f>SUM(I248:I252)</f>
        <v>475572856</v>
      </c>
      <c r="J253" s="10">
        <f>I253/(E253+I253)</f>
        <v>0.56611972574514413</v>
      </c>
    </row>
    <row r="254" spans="1:13" ht="15.75">
      <c r="A254" s="1" t="s">
        <v>0</v>
      </c>
      <c r="B254" s="3"/>
      <c r="J254" s="3"/>
    </row>
    <row r="255" spans="1:13" ht="15.75">
      <c r="A255" s="1" t="s">
        <v>38</v>
      </c>
      <c r="B255" s="2">
        <v>2</v>
      </c>
      <c r="C255" s="2" t="s">
        <v>2</v>
      </c>
      <c r="D255" s="2"/>
      <c r="E255" s="2"/>
      <c r="F255" s="2"/>
      <c r="G255" s="2" t="s">
        <v>3</v>
      </c>
      <c r="H255" s="2"/>
      <c r="I255" s="2"/>
      <c r="J255" s="2"/>
    </row>
    <row r="256" spans="1:13">
      <c r="B256" s="4" t="s">
        <v>4</v>
      </c>
      <c r="C256" s="4" t="s">
        <v>5</v>
      </c>
      <c r="D256" s="4"/>
      <c r="E256" s="4" t="s">
        <v>6</v>
      </c>
      <c r="F256" s="5"/>
      <c r="G256" s="4" t="s">
        <v>7</v>
      </c>
      <c r="H256" s="5"/>
      <c r="I256" s="5" t="s">
        <v>6</v>
      </c>
      <c r="J256" s="5"/>
    </row>
    <row r="257" spans="1:13">
      <c r="B257" s="4" t="s">
        <v>8</v>
      </c>
      <c r="C257" s="4" t="s">
        <v>8</v>
      </c>
      <c r="D257" s="4" t="s">
        <v>9</v>
      </c>
      <c r="E257" s="4" t="s">
        <v>8</v>
      </c>
      <c r="F257" s="5" t="s">
        <v>9</v>
      </c>
      <c r="G257" s="5" t="s">
        <v>8</v>
      </c>
      <c r="H257" s="5" t="s">
        <v>9</v>
      </c>
      <c r="I257" s="5" t="s">
        <v>8</v>
      </c>
      <c r="J257" s="5" t="s">
        <v>9</v>
      </c>
    </row>
    <row r="258" spans="1:13">
      <c r="B258" s="4"/>
      <c r="C258" s="4"/>
      <c r="D258" s="4"/>
      <c r="E258" s="4"/>
      <c r="F258" s="4"/>
      <c r="G258" s="4"/>
      <c r="H258" s="4"/>
      <c r="I258" s="4"/>
      <c r="J258" s="4"/>
    </row>
    <row r="259" spans="1:13">
      <c r="A259" s="3" t="s">
        <v>10</v>
      </c>
      <c r="B259" s="6">
        <f>C259+G259</f>
        <v>527542</v>
      </c>
      <c r="C259" s="7">
        <v>44997</v>
      </c>
      <c r="D259" s="8">
        <f t="shared" ref="D259:D264" si="46">C259/B259</f>
        <v>8.52955783615333E-2</v>
      </c>
      <c r="E259" s="12">
        <v>27800381</v>
      </c>
      <c r="F259" s="10">
        <f>E259/(E259+I259)</f>
        <v>7.8559958611337813E-2</v>
      </c>
      <c r="G259" s="11">
        <v>482545</v>
      </c>
      <c r="H259" s="10">
        <f t="shared" ref="H259:H264" si="47">G259/B259</f>
        <v>0.91470442163846666</v>
      </c>
      <c r="I259" s="12">
        <v>326074309</v>
      </c>
      <c r="J259" s="10">
        <f>I259/(E259+I259)</f>
        <v>0.9214400413886622</v>
      </c>
    </row>
    <row r="260" spans="1:13">
      <c r="A260" s="3" t="s">
        <v>11</v>
      </c>
      <c r="B260" s="6">
        <f>C260+G260</f>
        <v>57926</v>
      </c>
      <c r="C260" s="7">
        <v>15277</v>
      </c>
      <c r="D260" s="8">
        <f t="shared" si="46"/>
        <v>0.26373303870455411</v>
      </c>
      <c r="E260" s="12">
        <v>14654127</v>
      </c>
      <c r="F260" s="10">
        <f>E260/(E260+I260)</f>
        <v>0.2660245305748834</v>
      </c>
      <c r="G260" s="11">
        <v>42649</v>
      </c>
      <c r="H260" s="10">
        <f t="shared" si="47"/>
        <v>0.73626696129544589</v>
      </c>
      <c r="I260" s="12">
        <v>40431496</v>
      </c>
      <c r="J260" s="10">
        <f>I260/(E260+I260)</f>
        <v>0.7339754694251166</v>
      </c>
    </row>
    <row r="261" spans="1:13">
      <c r="A261" s="3" t="s">
        <v>12</v>
      </c>
      <c r="B261" s="6">
        <f>C261+G261</f>
        <v>10104</v>
      </c>
      <c r="C261" s="7">
        <v>4895</v>
      </c>
      <c r="D261" s="8">
        <f t="shared" si="46"/>
        <v>0.4844615993665875</v>
      </c>
      <c r="E261" s="12">
        <v>100170971</v>
      </c>
      <c r="F261" s="10">
        <f>E261/(E261+I261)</f>
        <v>0.65749387477239818</v>
      </c>
      <c r="G261" s="11">
        <v>5209</v>
      </c>
      <c r="H261" s="10">
        <f t="shared" si="47"/>
        <v>0.5155384006334125</v>
      </c>
      <c r="I261" s="12">
        <v>52181735</v>
      </c>
      <c r="J261" s="10">
        <f>I261/(E261+I261)</f>
        <v>0.34250612522760182</v>
      </c>
    </row>
    <row r="262" spans="1:13">
      <c r="A262" s="3" t="s">
        <v>13</v>
      </c>
      <c r="B262" s="6">
        <f>C262+G262</f>
        <v>363</v>
      </c>
      <c r="C262" s="7">
        <v>312</v>
      </c>
      <c r="D262" s="8">
        <f t="shared" si="46"/>
        <v>0.85950413223140498</v>
      </c>
      <c r="E262" s="12">
        <v>207372158</v>
      </c>
      <c r="F262" s="10">
        <f>E262/(E262+I262)</f>
        <v>0.97662906279667061</v>
      </c>
      <c r="G262" s="11">
        <v>51</v>
      </c>
      <c r="H262" s="10">
        <f t="shared" si="47"/>
        <v>0.14049586776859505</v>
      </c>
      <c r="I262" s="12">
        <v>4962459</v>
      </c>
      <c r="J262" s="10">
        <f>I262/(E262+I262)</f>
        <v>2.3370937203329403E-2</v>
      </c>
    </row>
    <row r="263" spans="1:13">
      <c r="A263" s="3" t="s">
        <v>14</v>
      </c>
      <c r="B263" s="6">
        <f>C263+G263</f>
        <v>4956</v>
      </c>
      <c r="C263" s="7">
        <v>1189</v>
      </c>
      <c r="D263" s="8">
        <f t="shared" si="46"/>
        <v>0.23991121872477805</v>
      </c>
      <c r="E263" s="12">
        <v>462527</v>
      </c>
      <c r="F263" s="10">
        <f>E263/(E263+I262)</f>
        <v>8.5258653202054349E-2</v>
      </c>
      <c r="G263" s="11">
        <v>3767</v>
      </c>
      <c r="H263" s="10">
        <f t="shared" si="47"/>
        <v>0.76008878127522195</v>
      </c>
      <c r="I263" s="13">
        <v>539552</v>
      </c>
      <c r="J263" s="10">
        <f>I262/(E263+I262)</f>
        <v>0.91474134679794561</v>
      </c>
      <c r="M263" s="14"/>
    </row>
    <row r="264" spans="1:13" ht="15.75">
      <c r="B264" s="15">
        <f>SUM(B259:B263)</f>
        <v>600891</v>
      </c>
      <c r="C264" s="16">
        <f>SUM(C259:C263)</f>
        <v>66670</v>
      </c>
      <c r="D264" s="17">
        <f t="shared" si="46"/>
        <v>0.11095190309057716</v>
      </c>
      <c r="E264" s="18">
        <f>SUM(E259:E263)</f>
        <v>350460164</v>
      </c>
      <c r="F264" s="10">
        <f>E264/(E264+I264)</f>
        <v>0.45241114430668833</v>
      </c>
      <c r="G264" s="18">
        <f>SUM(G259:G263)</f>
        <v>534221</v>
      </c>
      <c r="H264" s="17">
        <f t="shared" si="47"/>
        <v>0.88904809690942288</v>
      </c>
      <c r="I264" s="18">
        <f>SUM(I259:I263)</f>
        <v>424189551</v>
      </c>
      <c r="J264" s="10">
        <f>I264/(E264+I264)</f>
        <v>0.54758885569331162</v>
      </c>
    </row>
    <row r="265" spans="1:13" ht="15.75">
      <c r="A265" s="1" t="s">
        <v>0</v>
      </c>
      <c r="B265" s="3"/>
      <c r="J265" s="3"/>
    </row>
    <row r="266" spans="1:13" ht="15.75">
      <c r="A266" s="1" t="s">
        <v>39</v>
      </c>
      <c r="B266" s="2">
        <v>2</v>
      </c>
      <c r="C266" s="2" t="s">
        <v>2</v>
      </c>
      <c r="D266" s="2"/>
      <c r="E266" s="2"/>
      <c r="F266" s="2"/>
      <c r="G266" s="2" t="s">
        <v>3</v>
      </c>
      <c r="H266" s="2"/>
      <c r="I266" s="2"/>
      <c r="J266" s="2"/>
    </row>
    <row r="267" spans="1:13">
      <c r="B267" s="4" t="s">
        <v>4</v>
      </c>
      <c r="C267" s="4" t="s">
        <v>5</v>
      </c>
      <c r="D267" s="4"/>
      <c r="E267" s="4" t="s">
        <v>6</v>
      </c>
      <c r="F267" s="5"/>
      <c r="G267" s="4" t="s">
        <v>7</v>
      </c>
      <c r="H267" s="5"/>
      <c r="I267" s="5" t="s">
        <v>6</v>
      </c>
      <c r="J267" s="5"/>
    </row>
    <row r="268" spans="1:13">
      <c r="B268" s="4" t="s">
        <v>8</v>
      </c>
      <c r="C268" s="4" t="s">
        <v>8</v>
      </c>
      <c r="D268" s="4" t="s">
        <v>9</v>
      </c>
      <c r="E268" s="4" t="s">
        <v>8</v>
      </c>
      <c r="F268" s="5" t="s">
        <v>9</v>
      </c>
      <c r="G268" s="5" t="s">
        <v>8</v>
      </c>
      <c r="H268" s="5" t="s">
        <v>9</v>
      </c>
      <c r="I268" s="5" t="s">
        <v>8</v>
      </c>
      <c r="J268" s="5" t="s">
        <v>9</v>
      </c>
    </row>
    <row r="269" spans="1:13">
      <c r="B269" s="4"/>
      <c r="C269" s="4"/>
      <c r="D269" s="4"/>
      <c r="E269" s="4"/>
      <c r="F269" s="4"/>
      <c r="G269" s="4"/>
      <c r="H269" s="4"/>
      <c r="I269" s="4"/>
      <c r="J269" s="4"/>
    </row>
    <row r="270" spans="1:13">
      <c r="A270" s="3" t="s">
        <v>10</v>
      </c>
      <c r="B270" s="6">
        <f>C270+G270</f>
        <v>580114</v>
      </c>
      <c r="C270" s="7">
        <v>50966</v>
      </c>
      <c r="D270" s="8">
        <f t="shared" ref="D270:D275" si="48">C270/B270</f>
        <v>8.7855145712739224E-2</v>
      </c>
      <c r="E270" s="12">
        <v>33994680</v>
      </c>
      <c r="F270" s="10">
        <f>E270/(E270+I270)</f>
        <v>8.3216581170157372E-2</v>
      </c>
      <c r="G270" s="11">
        <v>529148</v>
      </c>
      <c r="H270" s="10">
        <f t="shared" ref="H270:H275" si="49">G270/B270</f>
        <v>0.91214485428726078</v>
      </c>
      <c r="I270" s="12">
        <v>374513811</v>
      </c>
      <c r="J270" s="10">
        <f>I270/(E270+I270)</f>
        <v>0.9167834188298426</v>
      </c>
    </row>
    <row r="271" spans="1:13">
      <c r="A271" s="3" t="s">
        <v>11</v>
      </c>
      <c r="B271" s="6">
        <f>C271+G271</f>
        <v>63886</v>
      </c>
      <c r="C271" s="7">
        <v>16742</v>
      </c>
      <c r="D271" s="8">
        <f t="shared" si="48"/>
        <v>0.26206054534639828</v>
      </c>
      <c r="E271" s="12">
        <v>16667606</v>
      </c>
      <c r="F271" s="10">
        <f>E271/(E271+I271)</f>
        <v>0.26973638066910899</v>
      </c>
      <c r="G271" s="11">
        <v>47144</v>
      </c>
      <c r="H271" s="10">
        <f t="shared" si="49"/>
        <v>0.73793945465360178</v>
      </c>
      <c r="I271" s="12">
        <v>45124600</v>
      </c>
      <c r="J271" s="10">
        <f>I271/(E271+I271)</f>
        <v>0.73026361933089101</v>
      </c>
    </row>
    <row r="272" spans="1:13">
      <c r="A272" s="3" t="s">
        <v>12</v>
      </c>
      <c r="B272" s="6">
        <f>C272+G272</f>
        <v>11150</v>
      </c>
      <c r="C272" s="7">
        <v>5323</v>
      </c>
      <c r="D272" s="8">
        <f t="shared" si="48"/>
        <v>0.47739910313901346</v>
      </c>
      <c r="E272" s="12">
        <v>100568780</v>
      </c>
      <c r="F272" s="10">
        <f>E272/(E272+I272)</f>
        <v>0.62128426098854195</v>
      </c>
      <c r="G272" s="11">
        <v>5827</v>
      </c>
      <c r="H272" s="10">
        <f t="shared" si="49"/>
        <v>0.52260089686098654</v>
      </c>
      <c r="I272" s="12">
        <v>61303629</v>
      </c>
      <c r="J272" s="10">
        <f>I272/(E272+I272)</f>
        <v>0.37871573901145811</v>
      </c>
    </row>
    <row r="273" spans="1:13">
      <c r="A273" s="3" t="s">
        <v>13</v>
      </c>
      <c r="B273" s="6">
        <f>C273+G273</f>
        <v>389</v>
      </c>
      <c r="C273" s="7">
        <v>336</v>
      </c>
      <c r="D273" s="8">
        <f t="shared" si="48"/>
        <v>0.86375321336760924</v>
      </c>
      <c r="E273" s="12">
        <v>194229144</v>
      </c>
      <c r="F273" s="10">
        <f>E273/(E273+I273)</f>
        <v>0.97205939751009562</v>
      </c>
      <c r="G273" s="11">
        <v>53</v>
      </c>
      <c r="H273" s="10">
        <f t="shared" si="49"/>
        <v>0.13624678663239073</v>
      </c>
      <c r="I273" s="12">
        <v>5582868</v>
      </c>
      <c r="J273" s="10">
        <f>I273/(E273+I273)</f>
        <v>2.7940602489904362E-2</v>
      </c>
    </row>
    <row r="274" spans="1:13">
      <c r="A274" s="3" t="s">
        <v>14</v>
      </c>
      <c r="B274" s="6">
        <f>C274+G274</f>
        <v>5765</v>
      </c>
      <c r="C274" s="7">
        <v>1460</v>
      </c>
      <c r="D274" s="8">
        <f t="shared" si="48"/>
        <v>0.25325238508239378</v>
      </c>
      <c r="E274" s="12">
        <v>1181964</v>
      </c>
      <c r="F274" s="10">
        <f>E274/(E274+I273)</f>
        <v>0.1747218556203613</v>
      </c>
      <c r="G274" s="11">
        <v>4305</v>
      </c>
      <c r="H274" s="10">
        <f t="shared" si="49"/>
        <v>0.74674761491760622</v>
      </c>
      <c r="I274" s="13">
        <v>928093</v>
      </c>
      <c r="J274" s="10">
        <f>I273/(E274+I273)</f>
        <v>0.82527814437963865</v>
      </c>
      <c r="M274" s="14"/>
    </row>
    <row r="275" spans="1:13" ht="15.75">
      <c r="B275" s="15">
        <f>SUM(B270:B274)</f>
        <v>661304</v>
      </c>
      <c r="C275" s="16">
        <f>SUM(C270:C274)</f>
        <v>74827</v>
      </c>
      <c r="D275" s="17">
        <f t="shared" si="48"/>
        <v>0.11315068410292392</v>
      </c>
      <c r="E275" s="18">
        <f>SUM(E270:E274)</f>
        <v>346642174</v>
      </c>
      <c r="F275" s="10">
        <f>E275/(E275+I275)</f>
        <v>0.41559067165206898</v>
      </c>
      <c r="G275" s="18">
        <f>SUM(G270:G274)</f>
        <v>586477</v>
      </c>
      <c r="H275" s="17">
        <f t="shared" si="49"/>
        <v>0.88684931589707605</v>
      </c>
      <c r="I275" s="18">
        <f>SUM(I270:I274)</f>
        <v>487453001</v>
      </c>
      <c r="J275" s="10">
        <f>I275/(E275+I275)</f>
        <v>0.58440932834793102</v>
      </c>
    </row>
    <row r="276" spans="1:13" ht="15.75">
      <c r="A276" s="1" t="s">
        <v>0</v>
      </c>
      <c r="B276" s="3"/>
      <c r="J276" s="3"/>
    </row>
    <row r="277" spans="1:13" ht="15.75">
      <c r="A277" s="1" t="s">
        <v>40</v>
      </c>
      <c r="B277" s="2">
        <v>2</v>
      </c>
      <c r="C277" s="2" t="s">
        <v>2</v>
      </c>
      <c r="D277" s="2"/>
      <c r="E277" s="2"/>
      <c r="F277" s="2"/>
      <c r="G277" s="2" t="s">
        <v>3</v>
      </c>
      <c r="H277" s="2"/>
      <c r="I277" s="2"/>
      <c r="J277" s="2"/>
    </row>
    <row r="278" spans="1:13">
      <c r="B278" s="4" t="s">
        <v>4</v>
      </c>
      <c r="C278" s="4" t="s">
        <v>5</v>
      </c>
      <c r="D278" s="4"/>
      <c r="E278" s="4" t="s">
        <v>6</v>
      </c>
      <c r="F278" s="5"/>
      <c r="G278" s="4" t="s">
        <v>7</v>
      </c>
      <c r="H278" s="5"/>
      <c r="I278" s="5" t="s">
        <v>6</v>
      </c>
      <c r="J278" s="5"/>
    </row>
    <row r="279" spans="1:13">
      <c r="B279" s="4" t="s">
        <v>8</v>
      </c>
      <c r="C279" s="4" t="s">
        <v>8</v>
      </c>
      <c r="D279" s="4" t="s">
        <v>9</v>
      </c>
      <c r="E279" s="4" t="s">
        <v>8</v>
      </c>
      <c r="F279" s="5" t="s">
        <v>9</v>
      </c>
      <c r="G279" s="5" t="s">
        <v>8</v>
      </c>
      <c r="H279" s="5" t="s">
        <v>9</v>
      </c>
      <c r="I279" s="5" t="s">
        <v>8</v>
      </c>
      <c r="J279" s="5" t="s">
        <v>9</v>
      </c>
    </row>
    <row r="280" spans="1:13">
      <c r="B280" s="4"/>
      <c r="C280" s="4"/>
      <c r="D280" s="4"/>
      <c r="E280" s="4"/>
      <c r="F280" s="4"/>
      <c r="G280" s="4"/>
      <c r="H280" s="4"/>
      <c r="I280" s="4"/>
      <c r="J280" s="4"/>
    </row>
    <row r="281" spans="1:13">
      <c r="A281" s="3" t="s">
        <v>10</v>
      </c>
      <c r="B281" s="6">
        <f>C281+G281</f>
        <v>579307</v>
      </c>
      <c r="C281" s="7">
        <v>52436</v>
      </c>
      <c r="D281" s="8">
        <f t="shared" ref="D281:D286" si="50">C281/B281</f>
        <v>9.0515046426160914E-2</v>
      </c>
      <c r="E281" s="12">
        <v>33915504</v>
      </c>
      <c r="F281" s="10">
        <f>E281/(E281+I281)</f>
        <v>8.7720409870220575E-2</v>
      </c>
      <c r="G281" s="11">
        <v>526871</v>
      </c>
      <c r="H281" s="10">
        <f t="shared" ref="H281:H286" si="51">G281/B281</f>
        <v>0.90948495357383907</v>
      </c>
      <c r="I281" s="12">
        <v>352716342</v>
      </c>
      <c r="J281" s="10">
        <f>I281/(E281+I281)</f>
        <v>0.91227959012977944</v>
      </c>
    </row>
    <row r="282" spans="1:13">
      <c r="A282" s="3" t="s">
        <v>11</v>
      </c>
      <c r="B282" s="6">
        <f>C282+G282</f>
        <v>63670</v>
      </c>
      <c r="C282" s="7">
        <v>16781</v>
      </c>
      <c r="D282" s="8">
        <f t="shared" si="50"/>
        <v>0.26356211716664046</v>
      </c>
      <c r="E282" s="12">
        <v>16379132</v>
      </c>
      <c r="F282" s="10">
        <f>E282/(E282+I282)</f>
        <v>0.2771823841496886</v>
      </c>
      <c r="G282" s="11">
        <v>46889</v>
      </c>
      <c r="H282" s="10">
        <f t="shared" si="51"/>
        <v>0.73643788283335954</v>
      </c>
      <c r="I282" s="12">
        <v>42712401</v>
      </c>
      <c r="J282" s="10">
        <f>I282/(E282+I282)</f>
        <v>0.72281761585031146</v>
      </c>
    </row>
    <row r="283" spans="1:13">
      <c r="A283" s="3" t="s">
        <v>12</v>
      </c>
      <c r="B283" s="6">
        <f>C283+G283</f>
        <v>11131</v>
      </c>
      <c r="C283" s="7">
        <v>5289</v>
      </c>
      <c r="D283" s="8">
        <f t="shared" si="50"/>
        <v>0.47515946455844038</v>
      </c>
      <c r="E283" s="12">
        <v>102375634</v>
      </c>
      <c r="F283" s="10">
        <f>E283/(E283+I283)</f>
        <v>0.62690137627192832</v>
      </c>
      <c r="G283" s="11">
        <v>5842</v>
      </c>
      <c r="H283" s="10">
        <f t="shared" si="51"/>
        <v>0.52484053544155962</v>
      </c>
      <c r="I283" s="12">
        <v>60928576</v>
      </c>
      <c r="J283" s="10">
        <f>I283/(E283+I283)</f>
        <v>0.37309862372807168</v>
      </c>
    </row>
    <row r="284" spans="1:13">
      <c r="A284" s="3" t="s">
        <v>13</v>
      </c>
      <c r="B284" s="6">
        <f>C284+G284</f>
        <v>397</v>
      </c>
      <c r="C284" s="7">
        <v>343</v>
      </c>
      <c r="D284" s="8">
        <f t="shared" si="50"/>
        <v>0.8639798488664987</v>
      </c>
      <c r="E284" s="12">
        <v>216961438</v>
      </c>
      <c r="F284" s="10">
        <f>E284/(E284+I284)</f>
        <v>0.97404711406289968</v>
      </c>
      <c r="G284" s="11">
        <v>54</v>
      </c>
      <c r="H284" s="10">
        <f t="shared" si="51"/>
        <v>0.13602015113350127</v>
      </c>
      <c r="I284" s="12">
        <v>5780804</v>
      </c>
      <c r="J284" s="10">
        <f>I284/(E284+I284)</f>
        <v>2.5952885937100337E-2</v>
      </c>
    </row>
    <row r="285" spans="1:13">
      <c r="A285" s="3" t="s">
        <v>14</v>
      </c>
      <c r="B285" s="6">
        <f>C285+G285</f>
        <v>5753</v>
      </c>
      <c r="C285" s="7">
        <v>1476</v>
      </c>
      <c r="D285" s="8">
        <f t="shared" si="50"/>
        <v>0.2565617938466887</v>
      </c>
      <c r="E285" s="12">
        <v>1891929</v>
      </c>
      <c r="F285" s="10">
        <f>E285/(E285+I284)</f>
        <v>0.24657824011339896</v>
      </c>
      <c r="G285" s="11">
        <v>4277</v>
      </c>
      <c r="H285" s="10">
        <f t="shared" si="51"/>
        <v>0.74343820615331135</v>
      </c>
      <c r="I285" s="13">
        <v>1193660</v>
      </c>
      <c r="J285" s="10">
        <f>I284/(E285+I284)</f>
        <v>0.75342175988660098</v>
      </c>
      <c r="M285" s="14"/>
    </row>
    <row r="286" spans="1:13" ht="15.75">
      <c r="B286" s="15">
        <f>SUM(B281:B285)</f>
        <v>660258</v>
      </c>
      <c r="C286" s="16">
        <f>SUM(C281:C285)</f>
        <v>76325</v>
      </c>
      <c r="D286" s="17">
        <f t="shared" si="50"/>
        <v>0.11559875079135731</v>
      </c>
      <c r="E286" s="18">
        <f>SUM(E281:E285)</f>
        <v>371523637</v>
      </c>
      <c r="F286" s="10">
        <f>E286/(E286+I286)</f>
        <v>0.44501554173296259</v>
      </c>
      <c r="G286" s="18">
        <f>SUM(G281:G285)</f>
        <v>583933</v>
      </c>
      <c r="H286" s="17">
        <f t="shared" si="51"/>
        <v>0.88440124920864271</v>
      </c>
      <c r="I286" s="18">
        <f>SUM(I281:I285)</f>
        <v>463331783</v>
      </c>
      <c r="J286" s="10">
        <f>I286/(E286+I286)</f>
        <v>0.55498445826703746</v>
      </c>
    </row>
    <row r="287" spans="1:13" ht="15.75">
      <c r="A287" s="1" t="s">
        <v>0</v>
      </c>
      <c r="B287" s="3"/>
      <c r="J287" s="3"/>
    </row>
    <row r="288" spans="1:13" ht="15.75">
      <c r="A288" s="1" t="s">
        <v>41</v>
      </c>
      <c r="B288" s="2">
        <v>2</v>
      </c>
      <c r="C288" s="2" t="s">
        <v>2</v>
      </c>
      <c r="D288" s="2"/>
      <c r="E288" s="2"/>
      <c r="F288" s="2"/>
      <c r="G288" s="2" t="s">
        <v>3</v>
      </c>
      <c r="H288" s="2"/>
      <c r="I288" s="2"/>
      <c r="J288" s="2"/>
    </row>
    <row r="289" spans="1:13">
      <c r="B289" s="4" t="s">
        <v>4</v>
      </c>
      <c r="C289" s="4" t="s">
        <v>5</v>
      </c>
      <c r="D289" s="4"/>
      <c r="E289" s="4" t="s">
        <v>6</v>
      </c>
      <c r="F289" s="5"/>
      <c r="G289" s="4" t="s">
        <v>7</v>
      </c>
      <c r="H289" s="5"/>
      <c r="I289" s="5" t="s">
        <v>6</v>
      </c>
      <c r="J289" s="5"/>
    </row>
    <row r="290" spans="1:13">
      <c r="B290" s="4" t="s">
        <v>8</v>
      </c>
      <c r="C290" s="4" t="s">
        <v>8</v>
      </c>
      <c r="D290" s="4" t="s">
        <v>9</v>
      </c>
      <c r="E290" s="4" t="s">
        <v>8</v>
      </c>
      <c r="F290" s="5" t="s">
        <v>9</v>
      </c>
      <c r="G290" s="5" t="s">
        <v>8</v>
      </c>
      <c r="H290" s="5" t="s">
        <v>9</v>
      </c>
      <c r="I290" s="5" t="s">
        <v>8</v>
      </c>
      <c r="J290" s="5" t="s">
        <v>9</v>
      </c>
    </row>
    <row r="291" spans="1:13">
      <c r="B291" s="4"/>
      <c r="C291" s="4"/>
      <c r="D291" s="4"/>
      <c r="E291" s="4"/>
      <c r="F291" s="4"/>
      <c r="G291" s="4"/>
      <c r="H291" s="4"/>
      <c r="I291" s="4"/>
      <c r="J291" s="4"/>
    </row>
    <row r="292" spans="1:13">
      <c r="A292" s="3" t="s">
        <v>10</v>
      </c>
      <c r="B292" s="6">
        <f>C292+G292</f>
        <v>548879</v>
      </c>
      <c r="C292" s="7">
        <v>51036</v>
      </c>
      <c r="D292" s="8">
        <f t="shared" ref="D292:D297" si="52">C292/B292</f>
        <v>9.2982241987760506E-2</v>
      </c>
      <c r="E292" s="12">
        <v>25240421</v>
      </c>
      <c r="F292" s="10">
        <f>E292/(E292+I292)</f>
        <v>9.2860868451039927E-2</v>
      </c>
      <c r="G292" s="11">
        <v>497843</v>
      </c>
      <c r="H292" s="10">
        <f t="shared" ref="H292:H297" si="53">G292/B292</f>
        <v>0.90701775801223949</v>
      </c>
      <c r="I292" s="12">
        <v>246568592</v>
      </c>
      <c r="J292" s="10">
        <f>I292/(E292+I292)</f>
        <v>0.90713913154896009</v>
      </c>
    </row>
    <row r="293" spans="1:13">
      <c r="A293" s="3" t="s">
        <v>11</v>
      </c>
      <c r="B293" s="6">
        <f>C293+G293</f>
        <v>60317</v>
      </c>
      <c r="C293" s="7">
        <v>16033</v>
      </c>
      <c r="D293" s="8">
        <f t="shared" si="52"/>
        <v>0.26581229172538423</v>
      </c>
      <c r="E293" s="12">
        <v>12767283</v>
      </c>
      <c r="F293" s="10">
        <f>E293/(E293+I293)</f>
        <v>0.28151675847528684</v>
      </c>
      <c r="G293" s="11">
        <v>44284</v>
      </c>
      <c r="H293" s="10">
        <f t="shared" si="53"/>
        <v>0.73418770827461577</v>
      </c>
      <c r="I293" s="12">
        <v>32584486</v>
      </c>
      <c r="J293" s="10">
        <f>I293/(E293+I293)</f>
        <v>0.71848324152471321</v>
      </c>
    </row>
    <row r="294" spans="1:13">
      <c r="A294" s="3" t="s">
        <v>12</v>
      </c>
      <c r="B294" s="6">
        <f>C294+G294</f>
        <v>10607</v>
      </c>
      <c r="C294" s="7">
        <v>5027</v>
      </c>
      <c r="D294" s="8">
        <f t="shared" si="52"/>
        <v>0.47393230885264448</v>
      </c>
      <c r="E294" s="12">
        <v>101683859</v>
      </c>
      <c r="F294" s="10">
        <f>E294/(E294+I294)</f>
        <v>0.66279925247842186</v>
      </c>
      <c r="G294" s="11">
        <v>5580</v>
      </c>
      <c r="H294" s="10">
        <f t="shared" si="53"/>
        <v>0.52606769114735552</v>
      </c>
      <c r="I294" s="12">
        <v>51731913</v>
      </c>
      <c r="J294" s="10">
        <f>I294/(E294+I294)</f>
        <v>0.33720074752157814</v>
      </c>
    </row>
    <row r="295" spans="1:13">
      <c r="A295" s="3" t="s">
        <v>13</v>
      </c>
      <c r="B295" s="6">
        <f>C295+G295</f>
        <v>382</v>
      </c>
      <c r="C295" s="7">
        <v>327</v>
      </c>
      <c r="D295" s="8">
        <f t="shared" si="52"/>
        <v>0.85602094240837701</v>
      </c>
      <c r="E295" s="12">
        <v>185150053</v>
      </c>
      <c r="F295" s="10">
        <f>E295/(E295+I295)</f>
        <v>0.96477464694468806</v>
      </c>
      <c r="G295" s="11">
        <v>55</v>
      </c>
      <c r="H295" s="10">
        <f t="shared" si="53"/>
        <v>0.14397905759162305</v>
      </c>
      <c r="I295" s="12">
        <v>6760103</v>
      </c>
      <c r="J295" s="10">
        <f>I295/(E295+I295)</f>
        <v>3.5225353055311985E-2</v>
      </c>
    </row>
    <row r="296" spans="1:13">
      <c r="A296" s="3" t="s">
        <v>14</v>
      </c>
      <c r="B296" s="6">
        <f>C296+G296</f>
        <v>5151</v>
      </c>
      <c r="C296" s="7">
        <v>1270</v>
      </c>
      <c r="D296" s="8">
        <f t="shared" si="52"/>
        <v>0.24655406717142303</v>
      </c>
      <c r="E296" s="12">
        <v>349014</v>
      </c>
      <c r="F296" s="10">
        <f>E296/(E296+I295)</f>
        <v>4.9093860742480393E-2</v>
      </c>
      <c r="G296" s="11">
        <v>3881</v>
      </c>
      <c r="H296" s="10">
        <f t="shared" si="53"/>
        <v>0.75344593282857697</v>
      </c>
      <c r="I296" s="13">
        <v>567179</v>
      </c>
      <c r="J296" s="10">
        <f>I295/(E296+I295)</f>
        <v>0.95090613925751966</v>
      </c>
      <c r="M296" s="14"/>
    </row>
    <row r="297" spans="1:13" ht="15.75">
      <c r="B297" s="15">
        <f>SUM(B292:B296)</f>
        <v>625336</v>
      </c>
      <c r="C297" s="16">
        <f>SUM(C292:C296)</f>
        <v>73693</v>
      </c>
      <c r="D297" s="17">
        <f t="shared" si="52"/>
        <v>0.11784544628807553</v>
      </c>
      <c r="E297" s="18">
        <f>SUM(E292:E296)</f>
        <v>325190630</v>
      </c>
      <c r="F297" s="10">
        <f>E297/(E297+I297)</f>
        <v>0.49018572051681242</v>
      </c>
      <c r="G297" s="18">
        <f>SUM(G292:G296)</f>
        <v>551643</v>
      </c>
      <c r="H297" s="17">
        <f t="shared" si="53"/>
        <v>0.88215455371192442</v>
      </c>
      <c r="I297" s="18">
        <f>SUM(I292:I296)</f>
        <v>338212273</v>
      </c>
      <c r="J297" s="10">
        <f>I297/(E297+I297)</f>
        <v>0.50981427948318758</v>
      </c>
    </row>
    <row r="298" spans="1:13" ht="15.75">
      <c r="A298" s="1" t="s">
        <v>0</v>
      </c>
      <c r="B298" s="3"/>
      <c r="J298" s="3"/>
    </row>
    <row r="299" spans="1:13" ht="15.75">
      <c r="A299" s="1" t="s">
        <v>42</v>
      </c>
      <c r="B299" s="2">
        <v>2</v>
      </c>
      <c r="C299" s="2" t="s">
        <v>2</v>
      </c>
      <c r="D299" s="2"/>
      <c r="E299" s="2"/>
      <c r="F299" s="2"/>
      <c r="G299" s="2" t="s">
        <v>3</v>
      </c>
      <c r="H299" s="2"/>
      <c r="I299" s="2"/>
      <c r="J299" s="2"/>
    </row>
    <row r="300" spans="1:13">
      <c r="B300" s="4" t="s">
        <v>4</v>
      </c>
      <c r="C300" s="4" t="s">
        <v>5</v>
      </c>
      <c r="D300" s="4"/>
      <c r="E300" s="4" t="s">
        <v>6</v>
      </c>
      <c r="F300" s="5"/>
      <c r="G300" s="4" t="s">
        <v>7</v>
      </c>
      <c r="H300" s="5"/>
      <c r="I300" s="5" t="s">
        <v>6</v>
      </c>
      <c r="J300" s="5"/>
    </row>
    <row r="301" spans="1:13">
      <c r="B301" s="4" t="s">
        <v>8</v>
      </c>
      <c r="C301" s="4" t="s">
        <v>8</v>
      </c>
      <c r="D301" s="4" t="s">
        <v>9</v>
      </c>
      <c r="E301" s="4" t="s">
        <v>8</v>
      </c>
      <c r="F301" s="5" t="s">
        <v>9</v>
      </c>
      <c r="G301" s="5" t="s">
        <v>8</v>
      </c>
      <c r="H301" s="5" t="s">
        <v>9</v>
      </c>
      <c r="I301" s="5" t="s">
        <v>8</v>
      </c>
      <c r="J301" s="5" t="s">
        <v>9</v>
      </c>
    </row>
    <row r="302" spans="1:13">
      <c r="B302" s="4"/>
      <c r="C302" s="4"/>
      <c r="D302" s="4"/>
      <c r="E302" s="4"/>
      <c r="F302" s="4"/>
      <c r="G302" s="4"/>
      <c r="H302" s="4"/>
      <c r="I302" s="4"/>
      <c r="J302" s="4"/>
    </row>
    <row r="303" spans="1:13">
      <c r="A303" s="3" t="s">
        <v>10</v>
      </c>
      <c r="B303" s="6">
        <f>C303+G303</f>
        <v>556316</v>
      </c>
      <c r="C303" s="7">
        <v>51882</v>
      </c>
      <c r="D303" s="8">
        <f t="shared" ref="D303:D308" si="54">C303/B303</f>
        <v>9.3259945786207832E-2</v>
      </c>
      <c r="E303" s="12">
        <v>24606214</v>
      </c>
      <c r="F303" s="10">
        <f>E303/(E303+I303)</f>
        <v>9.1906207165972142E-2</v>
      </c>
      <c r="G303" s="11">
        <v>504434</v>
      </c>
      <c r="H303" s="10">
        <f t="shared" ref="H303:H308" si="55">G303/B303</f>
        <v>0.90674005421379211</v>
      </c>
      <c r="I303" s="12">
        <v>243125583</v>
      </c>
      <c r="J303" s="10">
        <f>I303/(E303+I303)</f>
        <v>0.9080937928340278</v>
      </c>
    </row>
    <row r="304" spans="1:13">
      <c r="A304" s="3" t="s">
        <v>11</v>
      </c>
      <c r="B304" s="6">
        <f>C304+G304</f>
        <v>60960</v>
      </c>
      <c r="C304" s="7">
        <v>16273</v>
      </c>
      <c r="D304" s="8">
        <f t="shared" si="54"/>
        <v>0.26694553805774279</v>
      </c>
      <c r="E304" s="12">
        <v>13154085</v>
      </c>
      <c r="F304" s="10">
        <f>E304/(E304+I304)</f>
        <v>0.2830174552049885</v>
      </c>
      <c r="G304" s="11">
        <v>44687</v>
      </c>
      <c r="H304" s="10">
        <f t="shared" si="55"/>
        <v>0.73305446194225721</v>
      </c>
      <c r="I304" s="12">
        <v>33323914</v>
      </c>
      <c r="J304" s="10">
        <f>I304/(E304+I304)</f>
        <v>0.71698254479501156</v>
      </c>
    </row>
    <row r="305" spans="1:13">
      <c r="A305" s="3" t="s">
        <v>12</v>
      </c>
      <c r="B305" s="6">
        <f>C305+G305</f>
        <v>10566</v>
      </c>
      <c r="C305" s="7">
        <v>5049</v>
      </c>
      <c r="D305" s="8">
        <f t="shared" si="54"/>
        <v>0.47785349233390118</v>
      </c>
      <c r="E305" s="12">
        <v>98068420</v>
      </c>
      <c r="F305" s="10">
        <f>E305/(E305+I305)</f>
        <v>0.64383345785445023</v>
      </c>
      <c r="G305" s="11">
        <v>5517</v>
      </c>
      <c r="H305" s="10">
        <f t="shared" si="55"/>
        <v>0.52214650766609882</v>
      </c>
      <c r="I305" s="12">
        <v>54251126</v>
      </c>
      <c r="J305" s="10">
        <f>I305/(E305+I305)</f>
        <v>0.35616654214554971</v>
      </c>
    </row>
    <row r="306" spans="1:13">
      <c r="A306" s="3" t="s">
        <v>13</v>
      </c>
      <c r="B306" s="6">
        <f>C306+G306</f>
        <v>383</v>
      </c>
      <c r="C306" s="7">
        <v>333</v>
      </c>
      <c r="D306" s="8">
        <f t="shared" si="54"/>
        <v>0.86945169712793735</v>
      </c>
      <c r="E306" s="12">
        <v>201175394</v>
      </c>
      <c r="F306" s="10">
        <f>E306/(E306+I306)</f>
        <v>0.97080257673445236</v>
      </c>
      <c r="G306" s="11">
        <v>50</v>
      </c>
      <c r="H306" s="10">
        <f t="shared" si="55"/>
        <v>0.13054830287206268</v>
      </c>
      <c r="I306" s="12">
        <v>6050461</v>
      </c>
      <c r="J306" s="10">
        <f>I306/(E306+I306)</f>
        <v>2.9197423265547633E-2</v>
      </c>
    </row>
    <row r="307" spans="1:13">
      <c r="A307" s="3" t="s">
        <v>14</v>
      </c>
      <c r="B307" s="6">
        <f>C307+G307</f>
        <v>5573</v>
      </c>
      <c r="C307" s="7">
        <v>1426</v>
      </c>
      <c r="D307" s="8">
        <f t="shared" si="54"/>
        <v>0.25587654764040912</v>
      </c>
      <c r="E307" s="12">
        <v>1037016</v>
      </c>
      <c r="F307" s="10">
        <f>E307/(E307+I306)</f>
        <v>0.14631666529570395</v>
      </c>
      <c r="G307" s="11">
        <v>4147</v>
      </c>
      <c r="H307" s="10">
        <f t="shared" si="55"/>
        <v>0.74412345235959088</v>
      </c>
      <c r="I307" s="13">
        <v>769892</v>
      </c>
      <c r="J307" s="10">
        <f>I306/(E307+I306)</f>
        <v>0.85368333470429603</v>
      </c>
      <c r="M307" s="14"/>
    </row>
    <row r="308" spans="1:13" ht="15.75">
      <c r="B308" s="15">
        <f>SUM(B303:B307)</f>
        <v>633798</v>
      </c>
      <c r="C308" s="16">
        <f>SUM(C303:C307)</f>
        <v>74963</v>
      </c>
      <c r="D308" s="17">
        <f t="shared" si="54"/>
        <v>0.1182758544520494</v>
      </c>
      <c r="E308" s="18">
        <f>SUM(E303:E307)</f>
        <v>338041129</v>
      </c>
      <c r="F308" s="10">
        <f>E308/(E308+I308)</f>
        <v>0.50038497792886116</v>
      </c>
      <c r="G308" s="18">
        <f>SUM(G303:G307)</f>
        <v>558835</v>
      </c>
      <c r="H308" s="17">
        <f t="shared" si="55"/>
        <v>0.88172414554795064</v>
      </c>
      <c r="I308" s="18">
        <f>SUM(I303:I307)</f>
        <v>337520976</v>
      </c>
      <c r="J308" s="10">
        <f>I308/(E308+I308)</f>
        <v>0.49961502207113884</v>
      </c>
    </row>
    <row r="309" spans="1:13" ht="15.75">
      <c r="A309" s="1" t="s">
        <v>0</v>
      </c>
      <c r="B309" s="3"/>
      <c r="J309" s="3"/>
    </row>
    <row r="310" spans="1:13" ht="15.75">
      <c r="A310" s="1" t="s">
        <v>43</v>
      </c>
      <c r="B310" s="2">
        <v>2</v>
      </c>
      <c r="C310" s="2" t="s">
        <v>2</v>
      </c>
      <c r="D310" s="2"/>
      <c r="E310" s="2"/>
      <c r="F310" s="2"/>
      <c r="G310" s="2" t="s">
        <v>3</v>
      </c>
      <c r="H310" s="2"/>
      <c r="I310" s="2"/>
      <c r="J310" s="2"/>
    </row>
    <row r="311" spans="1:13">
      <c r="B311" s="4" t="s">
        <v>4</v>
      </c>
      <c r="C311" s="4" t="s">
        <v>5</v>
      </c>
      <c r="D311" s="4"/>
      <c r="E311" s="4" t="s">
        <v>6</v>
      </c>
      <c r="F311" s="5"/>
      <c r="G311" s="4" t="s">
        <v>7</v>
      </c>
      <c r="H311" s="5"/>
      <c r="I311" s="5" t="s">
        <v>6</v>
      </c>
      <c r="J311" s="5"/>
    </row>
    <row r="312" spans="1:13">
      <c r="B312" s="4" t="s">
        <v>8</v>
      </c>
      <c r="C312" s="4" t="s">
        <v>8</v>
      </c>
      <c r="D312" s="4" t="s">
        <v>9</v>
      </c>
      <c r="E312" s="4" t="s">
        <v>8</v>
      </c>
      <c r="F312" s="5" t="s">
        <v>9</v>
      </c>
      <c r="G312" s="5" t="s">
        <v>8</v>
      </c>
      <c r="H312" s="5" t="s">
        <v>9</v>
      </c>
      <c r="I312" s="5" t="s">
        <v>8</v>
      </c>
      <c r="J312" s="5" t="s">
        <v>9</v>
      </c>
    </row>
    <row r="313" spans="1:13">
      <c r="B313" s="4"/>
      <c r="C313" s="4"/>
      <c r="D313" s="4"/>
      <c r="E313" s="4"/>
      <c r="F313" s="4"/>
      <c r="G313" s="4"/>
      <c r="H313" s="4"/>
      <c r="I313" s="4"/>
      <c r="J313" s="4"/>
    </row>
    <row r="314" spans="1:13">
      <c r="A314" s="3" t="s">
        <v>10</v>
      </c>
      <c r="B314" s="6">
        <f>C314+G314</f>
        <v>576621</v>
      </c>
      <c r="C314" s="7">
        <v>53944</v>
      </c>
      <c r="D314" s="8">
        <f t="shared" ref="D314:D319" si="56">C314/B314</f>
        <v>9.3551917117135869E-2</v>
      </c>
      <c r="E314" s="12">
        <v>30721317</v>
      </c>
      <c r="F314" s="10">
        <f>E314/(E314+I314)</f>
        <v>9.255720936695927E-2</v>
      </c>
      <c r="G314" s="11">
        <v>522677</v>
      </c>
      <c r="H314" s="10">
        <f t="shared" ref="H314:H319" si="57">G314/B314</f>
        <v>0.90644808288286416</v>
      </c>
      <c r="I314" s="12">
        <v>301195745</v>
      </c>
      <c r="J314" s="10">
        <f>I314/(E314+I314)</f>
        <v>0.90744279063304079</v>
      </c>
    </row>
    <row r="315" spans="1:13">
      <c r="A315" s="3" t="s">
        <v>11</v>
      </c>
      <c r="B315" s="6">
        <f>C315+G315</f>
        <v>63113</v>
      </c>
      <c r="C315" s="7">
        <v>16857</v>
      </c>
      <c r="D315" s="8">
        <f t="shared" si="56"/>
        <v>0.26709235815125254</v>
      </c>
      <c r="E315" s="12">
        <v>15689106</v>
      </c>
      <c r="F315" s="10">
        <f>E315/(E315+I315)</f>
        <v>0.27061000626905785</v>
      </c>
      <c r="G315" s="11">
        <v>46256</v>
      </c>
      <c r="H315" s="10">
        <f t="shared" si="57"/>
        <v>0.73290764184874746</v>
      </c>
      <c r="I315" s="12">
        <v>42287708</v>
      </c>
      <c r="J315" s="10">
        <f>I315/(E315+I315)</f>
        <v>0.72938999373094215</v>
      </c>
    </row>
    <row r="316" spans="1:13">
      <c r="A316" s="3" t="s">
        <v>12</v>
      </c>
      <c r="B316" s="6">
        <f>C316+G316</f>
        <v>11090</v>
      </c>
      <c r="C316" s="7">
        <v>5307</v>
      </c>
      <c r="D316" s="8">
        <f t="shared" si="56"/>
        <v>0.47853922452660053</v>
      </c>
      <c r="E316" s="12">
        <v>118085151</v>
      </c>
      <c r="F316" s="10">
        <f>E316/(E316+I316)</f>
        <v>0.62981571125698421</v>
      </c>
      <c r="G316" s="11">
        <v>5783</v>
      </c>
      <c r="H316" s="10">
        <f t="shared" si="57"/>
        <v>0.52146077547339942</v>
      </c>
      <c r="I316" s="12">
        <v>69406442</v>
      </c>
      <c r="J316" s="10">
        <f>I316/(E316+I316)</f>
        <v>0.37018428874301579</v>
      </c>
    </row>
    <row r="317" spans="1:13">
      <c r="A317" s="3" t="s">
        <v>13</v>
      </c>
      <c r="B317" s="6">
        <f>C317+G317</f>
        <v>395</v>
      </c>
      <c r="C317" s="7">
        <v>345</v>
      </c>
      <c r="D317" s="8">
        <f t="shared" si="56"/>
        <v>0.87341772151898733</v>
      </c>
      <c r="E317" s="12">
        <v>545719114</v>
      </c>
      <c r="F317" s="10">
        <f>E317/(E317+I317)</f>
        <v>0.98165829867205856</v>
      </c>
      <c r="G317" s="11">
        <v>50</v>
      </c>
      <c r="H317" s="10">
        <f t="shared" si="57"/>
        <v>0.12658227848101267</v>
      </c>
      <c r="I317" s="12">
        <v>10196437</v>
      </c>
      <c r="J317" s="10">
        <f>I317/(E317+I317)</f>
        <v>1.8341701327941443E-2</v>
      </c>
    </row>
    <row r="318" spans="1:13">
      <c r="A318" s="3" t="s">
        <v>14</v>
      </c>
      <c r="B318" s="6">
        <f>C318+G318</f>
        <v>5714</v>
      </c>
      <c r="C318" s="7">
        <v>1480</v>
      </c>
      <c r="D318" s="8">
        <f t="shared" si="56"/>
        <v>0.25901295064753238</v>
      </c>
      <c r="E318" s="12">
        <v>819006</v>
      </c>
      <c r="F318" s="10">
        <f>E318/(E318+I317)</f>
        <v>7.4350709272427803E-2</v>
      </c>
      <c r="G318" s="11">
        <v>4234</v>
      </c>
      <c r="H318" s="10">
        <f t="shared" si="57"/>
        <v>0.74098704935246762</v>
      </c>
      <c r="I318" s="13">
        <v>695455</v>
      </c>
      <c r="J318" s="10">
        <f>I317/(E318+I317)</f>
        <v>0.92564929072757218</v>
      </c>
      <c r="M318" s="14"/>
    </row>
    <row r="319" spans="1:13" ht="15.75">
      <c r="B319" s="15">
        <f>SUM(B314:B318)</f>
        <v>656933</v>
      </c>
      <c r="C319" s="16">
        <f>SUM(C314:C318)</f>
        <v>77933</v>
      </c>
      <c r="D319" s="17">
        <f t="shared" si="56"/>
        <v>0.11863158038947655</v>
      </c>
      <c r="E319" s="18">
        <f>SUM(E314:E318)</f>
        <v>711033694</v>
      </c>
      <c r="F319" s="10">
        <f>E319/(E319+I319)</f>
        <v>0.62656326592710621</v>
      </c>
      <c r="G319" s="18">
        <f>SUM(G314:G318)</f>
        <v>579000</v>
      </c>
      <c r="H319" s="17">
        <f t="shared" si="57"/>
        <v>0.88136841961052348</v>
      </c>
      <c r="I319" s="18">
        <f>SUM(I314:I318)</f>
        <v>423781787</v>
      </c>
      <c r="J319" s="10">
        <f>I319/(E319+I319)</f>
        <v>0.37343673407289374</v>
      </c>
    </row>
    <row r="320" spans="1:13" ht="15.75">
      <c r="A320" s="1" t="s">
        <v>0</v>
      </c>
      <c r="B320" s="3"/>
      <c r="J320" s="3"/>
    </row>
    <row r="321" spans="1:13" ht="15.75">
      <c r="A321" s="1" t="s">
        <v>44</v>
      </c>
      <c r="B321" s="2">
        <v>2</v>
      </c>
      <c r="C321" s="2" t="s">
        <v>2</v>
      </c>
      <c r="D321" s="2"/>
      <c r="E321" s="2"/>
      <c r="F321" s="2"/>
      <c r="G321" s="2" t="s">
        <v>3</v>
      </c>
      <c r="H321" s="2"/>
      <c r="I321" s="2"/>
      <c r="J321" s="2"/>
    </row>
    <row r="322" spans="1:13">
      <c r="B322" s="4" t="s">
        <v>4</v>
      </c>
      <c r="C322" s="4" t="s">
        <v>5</v>
      </c>
      <c r="D322" s="4"/>
      <c r="E322" s="4" t="s">
        <v>6</v>
      </c>
      <c r="F322" s="5"/>
      <c r="G322" s="4" t="s">
        <v>7</v>
      </c>
      <c r="H322" s="5"/>
      <c r="I322" s="5" t="s">
        <v>6</v>
      </c>
      <c r="J322" s="5"/>
    </row>
    <row r="323" spans="1:13">
      <c r="B323" s="4" t="s">
        <v>8</v>
      </c>
      <c r="C323" s="4" t="s">
        <v>8</v>
      </c>
      <c r="D323" s="4" t="s">
        <v>9</v>
      </c>
      <c r="E323" s="4" t="s">
        <v>8</v>
      </c>
      <c r="F323" s="5" t="s">
        <v>9</v>
      </c>
      <c r="G323" s="5" t="s">
        <v>8</v>
      </c>
      <c r="H323" s="5" t="s">
        <v>9</v>
      </c>
      <c r="I323" s="5" t="s">
        <v>8</v>
      </c>
      <c r="J323" s="5" t="s">
        <v>9</v>
      </c>
    </row>
    <row r="324" spans="1:13">
      <c r="B324" s="4"/>
      <c r="C324" s="4"/>
      <c r="D324" s="4"/>
      <c r="E324" s="4"/>
      <c r="F324" s="4"/>
      <c r="G324" s="4"/>
      <c r="H324" s="4"/>
      <c r="I324" s="4"/>
      <c r="J324" s="4"/>
    </row>
    <row r="325" spans="1:13">
      <c r="A325" s="3" t="s">
        <v>10</v>
      </c>
      <c r="B325" s="6">
        <f>C325+G325</f>
        <v>578992</v>
      </c>
      <c r="C325" s="7">
        <v>54525</v>
      </c>
      <c r="D325" s="8">
        <f t="shared" ref="D325:D330" si="58">C325/B325</f>
        <v>9.4172285627435265E-2</v>
      </c>
      <c r="E325" s="12">
        <v>36927162</v>
      </c>
      <c r="F325" s="10">
        <f>E325/(E325+I325)</f>
        <v>9.4057594503072828E-2</v>
      </c>
      <c r="G325" s="11">
        <v>524467</v>
      </c>
      <c r="H325" s="10">
        <f t="shared" ref="H325:H330" si="59">G325/B325</f>
        <v>0.90582771437256471</v>
      </c>
      <c r="I325" s="12">
        <v>355674437</v>
      </c>
      <c r="J325" s="10">
        <f>I325/(E325+I325)</f>
        <v>0.90594240549692717</v>
      </c>
    </row>
    <row r="326" spans="1:13">
      <c r="A326" s="3" t="s">
        <v>11</v>
      </c>
      <c r="B326" s="6">
        <f>C326+G326</f>
        <v>63225</v>
      </c>
      <c r="C326" s="7">
        <v>16966</v>
      </c>
      <c r="D326" s="8">
        <f t="shared" si="58"/>
        <v>0.26834321866350336</v>
      </c>
      <c r="E326" s="12">
        <v>7942055</v>
      </c>
      <c r="F326" s="10">
        <f>E326/(E326+I326)</f>
        <v>0.14233074241921553</v>
      </c>
      <c r="G326" s="11">
        <v>46259</v>
      </c>
      <c r="H326" s="10">
        <f t="shared" si="59"/>
        <v>0.73165678133649659</v>
      </c>
      <c r="I326" s="12">
        <v>47857942</v>
      </c>
      <c r="J326" s="10">
        <f>I326/(E326+I326)</f>
        <v>0.85766925758078449</v>
      </c>
    </row>
    <row r="327" spans="1:13">
      <c r="A327" s="3" t="s">
        <v>12</v>
      </c>
      <c r="B327" s="6">
        <f>C327+G327</f>
        <v>11094</v>
      </c>
      <c r="C327" s="7">
        <v>5311</v>
      </c>
      <c r="D327" s="8">
        <f t="shared" si="58"/>
        <v>0.47872723994952227</v>
      </c>
      <c r="E327" s="12">
        <v>127182025</v>
      </c>
      <c r="F327" s="10">
        <f>E327/(E327+I327)</f>
        <v>0.61906340702473528</v>
      </c>
      <c r="G327" s="11">
        <v>5783</v>
      </c>
      <c r="H327" s="10">
        <f t="shared" si="59"/>
        <v>0.52127276005047773</v>
      </c>
      <c r="I327" s="12">
        <v>78260622</v>
      </c>
      <c r="J327" s="10">
        <f>I327/(E327+I327)</f>
        <v>0.38093659297526478</v>
      </c>
    </row>
    <row r="328" spans="1:13">
      <c r="A328" s="3" t="s">
        <v>13</v>
      </c>
      <c r="B328" s="6">
        <f>C328+G328</f>
        <v>409</v>
      </c>
      <c r="C328" s="7">
        <v>357</v>
      </c>
      <c r="D328" s="8">
        <f t="shared" si="58"/>
        <v>0.87286063569682149</v>
      </c>
      <c r="E328" s="12">
        <v>284670150</v>
      </c>
      <c r="F328" s="10">
        <f>E328/(E328+I328)</f>
        <v>0.97381619101310879</v>
      </c>
      <c r="G328" s="11">
        <v>52</v>
      </c>
      <c r="H328" s="10">
        <f t="shared" si="59"/>
        <v>0.12713936430317849</v>
      </c>
      <c r="I328" s="12">
        <v>7654164</v>
      </c>
      <c r="J328" s="10">
        <f>I328/(E328+I328)</f>
        <v>2.6183808986891183E-2</v>
      </c>
    </row>
    <row r="329" spans="1:13">
      <c r="A329" s="3" t="s">
        <v>14</v>
      </c>
      <c r="B329" s="6">
        <f>C329+G329</f>
        <v>5750</v>
      </c>
      <c r="C329" s="7">
        <v>1495</v>
      </c>
      <c r="D329" s="8">
        <f t="shared" si="58"/>
        <v>0.26</v>
      </c>
      <c r="E329" s="12">
        <v>810445</v>
      </c>
      <c r="F329" s="10">
        <f>E329/(E329+I328)</f>
        <v>9.5745119473327117E-2</v>
      </c>
      <c r="G329" s="11">
        <v>4255</v>
      </c>
      <c r="H329" s="10">
        <f t="shared" si="59"/>
        <v>0.74</v>
      </c>
      <c r="I329" s="13">
        <v>595043</v>
      </c>
      <c r="J329" s="10">
        <f>I328/(E329+I328)</f>
        <v>0.90425488052667291</v>
      </c>
      <c r="M329" s="14"/>
    </row>
    <row r="330" spans="1:13" ht="15.75">
      <c r="B330" s="15">
        <f>SUM(B325:B329)</f>
        <v>659470</v>
      </c>
      <c r="C330" s="16">
        <f>SUM(C325:C329)</f>
        <v>78654</v>
      </c>
      <c r="D330" s="17">
        <f t="shared" si="58"/>
        <v>0.11926850349523102</v>
      </c>
      <c r="E330" s="18">
        <f>SUM(E325:E329)</f>
        <v>457531837</v>
      </c>
      <c r="F330" s="10">
        <f>E330/(E330+I330)</f>
        <v>0.48284547198630795</v>
      </c>
      <c r="G330" s="18">
        <f>SUM(G325:G329)</f>
        <v>580816</v>
      </c>
      <c r="H330" s="17">
        <f t="shared" si="59"/>
        <v>0.88073149650476901</v>
      </c>
      <c r="I330" s="18">
        <f>SUM(I325:I329)</f>
        <v>490042208</v>
      </c>
      <c r="J330" s="10">
        <f>I330/(E330+I330)</f>
        <v>0.51715452801369211</v>
      </c>
    </row>
    <row r="331" spans="1:13" ht="15.75">
      <c r="A331" s="1" t="s">
        <v>0</v>
      </c>
      <c r="B331" s="3"/>
      <c r="J331" s="3"/>
    </row>
    <row r="332" spans="1:13" ht="15.75">
      <c r="A332" s="1" t="s">
        <v>45</v>
      </c>
      <c r="B332" s="2">
        <v>2</v>
      </c>
      <c r="C332" s="2" t="s">
        <v>2</v>
      </c>
      <c r="D332" s="2"/>
      <c r="E332" s="2"/>
      <c r="F332" s="2"/>
      <c r="G332" s="2" t="s">
        <v>3</v>
      </c>
      <c r="H332" s="2"/>
      <c r="I332" s="2"/>
      <c r="J332" s="2"/>
    </row>
    <row r="333" spans="1:13">
      <c r="B333" s="4" t="s">
        <v>4</v>
      </c>
      <c r="C333" s="4" t="s">
        <v>5</v>
      </c>
      <c r="D333" s="4"/>
      <c r="E333" s="4" t="s">
        <v>6</v>
      </c>
      <c r="F333" s="5"/>
      <c r="G333" s="4" t="s">
        <v>7</v>
      </c>
      <c r="H333" s="5"/>
      <c r="I333" s="5" t="s">
        <v>6</v>
      </c>
      <c r="J333" s="5"/>
    </row>
    <row r="334" spans="1:13">
      <c r="B334" s="4" t="s">
        <v>8</v>
      </c>
      <c r="C334" s="4" t="s">
        <v>8</v>
      </c>
      <c r="D334" s="4" t="s">
        <v>9</v>
      </c>
      <c r="E334" s="4" t="s">
        <v>8</v>
      </c>
      <c r="F334" s="5" t="s">
        <v>9</v>
      </c>
      <c r="G334" s="5" t="s">
        <v>8</v>
      </c>
      <c r="H334" s="5" t="s">
        <v>9</v>
      </c>
      <c r="I334" s="5" t="s">
        <v>8</v>
      </c>
      <c r="J334" s="5" t="s">
        <v>9</v>
      </c>
    </row>
    <row r="335" spans="1:13">
      <c r="B335" s="4"/>
      <c r="C335" s="4"/>
      <c r="D335" s="4"/>
      <c r="E335" s="4"/>
      <c r="F335" s="4"/>
      <c r="G335" s="4"/>
      <c r="H335" s="4"/>
      <c r="I335" s="4"/>
      <c r="J335" s="4"/>
    </row>
    <row r="336" spans="1:13">
      <c r="A336" s="3" t="s">
        <v>10</v>
      </c>
      <c r="B336" s="6">
        <f>C336+G336</f>
        <v>547939</v>
      </c>
      <c r="C336" s="7">
        <v>51894</v>
      </c>
      <c r="D336" s="8">
        <f t="shared" ref="D336:D341" si="60">C336/B336</f>
        <v>9.4707622563825533E-2</v>
      </c>
      <c r="E336" s="12">
        <v>30469498</v>
      </c>
      <c r="F336" s="10">
        <f>E336/(E336+I336)</f>
        <v>9.3988156285427171E-2</v>
      </c>
      <c r="G336" s="11">
        <v>496045</v>
      </c>
      <c r="H336" s="10">
        <f t="shared" ref="H336:H341" si="61">G336/B336</f>
        <v>0.90529237743617441</v>
      </c>
      <c r="I336" s="12">
        <v>293714944</v>
      </c>
      <c r="J336" s="10">
        <f>I336/(E336+I336)</f>
        <v>0.90601184371457288</v>
      </c>
    </row>
    <row r="337" spans="1:13">
      <c r="A337" s="3" t="s">
        <v>11</v>
      </c>
      <c r="B337" s="6">
        <f>C337+G337</f>
        <v>59810</v>
      </c>
      <c r="C337" s="7">
        <v>16107</v>
      </c>
      <c r="D337" s="8">
        <f t="shared" si="60"/>
        <v>0.26930279217522152</v>
      </c>
      <c r="E337" s="12">
        <v>16270926</v>
      </c>
      <c r="F337" s="10">
        <f>E337/(E337+I337)</f>
        <v>0.28224028372432863</v>
      </c>
      <c r="G337" s="11">
        <v>43703</v>
      </c>
      <c r="H337" s="10">
        <f t="shared" si="61"/>
        <v>0.73069720782477843</v>
      </c>
      <c r="I337" s="12">
        <v>41378272</v>
      </c>
      <c r="J337" s="10">
        <f>I337/(E337+I337)</f>
        <v>0.71775971627567137</v>
      </c>
    </row>
    <row r="338" spans="1:13">
      <c r="A338" s="3" t="s">
        <v>12</v>
      </c>
      <c r="B338" s="6">
        <f>C338+G338</f>
        <v>10451</v>
      </c>
      <c r="C338" s="7">
        <v>5025</v>
      </c>
      <c r="D338" s="8">
        <f t="shared" si="60"/>
        <v>0.48081523299205819</v>
      </c>
      <c r="E338" s="12">
        <v>108869807</v>
      </c>
      <c r="F338" s="10">
        <f>E338/(E338+I338)</f>
        <v>0.62087304748425187</v>
      </c>
      <c r="G338" s="11">
        <v>5426</v>
      </c>
      <c r="H338" s="10">
        <f t="shared" si="61"/>
        <v>0.51918476700794181</v>
      </c>
      <c r="I338" s="12">
        <v>66479739</v>
      </c>
      <c r="J338" s="10">
        <f>I338/(E338+I338)</f>
        <v>0.37912695251574818</v>
      </c>
    </row>
    <row r="339" spans="1:13">
      <c r="A339" s="3" t="s">
        <v>13</v>
      </c>
      <c r="B339" s="6">
        <f>C339+G339</f>
        <v>360</v>
      </c>
      <c r="C339" s="7">
        <v>316</v>
      </c>
      <c r="D339" s="8">
        <f t="shared" si="60"/>
        <v>0.87777777777777777</v>
      </c>
      <c r="E339" s="12">
        <v>159049636</v>
      </c>
      <c r="F339" s="10">
        <f>E339/(E339+I339)</f>
        <v>0.95479040000568616</v>
      </c>
      <c r="G339" s="11">
        <v>44</v>
      </c>
      <c r="H339" s="10">
        <f t="shared" si="61"/>
        <v>0.12222222222222222</v>
      </c>
      <c r="I339" s="12">
        <v>7531046</v>
      </c>
      <c r="J339" s="10">
        <f>I339/(E339+I339)</f>
        <v>4.5209599994313864E-2</v>
      </c>
    </row>
    <row r="340" spans="1:13">
      <c r="A340" s="3" t="s">
        <v>14</v>
      </c>
      <c r="B340" s="6">
        <f>C340+G340</f>
        <v>5503</v>
      </c>
      <c r="C340" s="7">
        <v>1429</v>
      </c>
      <c r="D340" s="8">
        <f t="shared" si="60"/>
        <v>0.25967654006905322</v>
      </c>
      <c r="E340" s="12">
        <v>711256</v>
      </c>
      <c r="F340" s="10">
        <f>E340/(E340+I339)</f>
        <v>8.6293368042083388E-2</v>
      </c>
      <c r="G340" s="11">
        <v>4074</v>
      </c>
      <c r="H340" s="10">
        <f t="shared" si="61"/>
        <v>0.74032345993094673</v>
      </c>
      <c r="I340" s="13">
        <v>656404</v>
      </c>
      <c r="J340" s="10">
        <f>I339/(E340+I339)</f>
        <v>0.91370663195791657</v>
      </c>
      <c r="M340" s="14"/>
    </row>
    <row r="341" spans="1:13" ht="15.75">
      <c r="B341" s="15">
        <f>SUM(B336:B340)</f>
        <v>624063</v>
      </c>
      <c r="C341" s="16">
        <f>SUM(C336:C340)</f>
        <v>74771</v>
      </c>
      <c r="D341" s="17">
        <f t="shared" si="60"/>
        <v>0.11981322398539891</v>
      </c>
      <c r="E341" s="18">
        <f>SUM(E336:E340)</f>
        <v>315371123</v>
      </c>
      <c r="F341" s="10">
        <f>E341/(E341+I341)</f>
        <v>0.43491575089809087</v>
      </c>
      <c r="G341" s="18">
        <f>SUM(G336:G340)</f>
        <v>549292</v>
      </c>
      <c r="H341" s="17">
        <f t="shared" si="61"/>
        <v>0.88018677601460105</v>
      </c>
      <c r="I341" s="18">
        <f>SUM(I336:I340)</f>
        <v>409760405</v>
      </c>
      <c r="J341" s="10">
        <f>I341/(E341+I341)</f>
        <v>0.56508424910190913</v>
      </c>
    </row>
    <row r="342" spans="1:13" ht="15.75">
      <c r="A342" s="1" t="s">
        <v>0</v>
      </c>
      <c r="B342" s="3"/>
      <c r="J342" s="3"/>
    </row>
    <row r="343" spans="1:13" ht="15.75">
      <c r="A343" s="1" t="s">
        <v>46</v>
      </c>
      <c r="B343" s="2">
        <v>2</v>
      </c>
      <c r="C343" s="2" t="s">
        <v>2</v>
      </c>
      <c r="D343" s="2"/>
      <c r="E343" s="2"/>
      <c r="F343" s="2"/>
      <c r="G343" s="2" t="s">
        <v>3</v>
      </c>
      <c r="H343" s="2"/>
      <c r="I343" s="2"/>
      <c r="J343" s="2"/>
    </row>
    <row r="344" spans="1:13">
      <c r="B344" s="4" t="s">
        <v>4</v>
      </c>
      <c r="C344" s="4" t="s">
        <v>5</v>
      </c>
      <c r="D344" s="4"/>
      <c r="E344" s="4" t="s">
        <v>6</v>
      </c>
      <c r="F344" s="5"/>
      <c r="G344" s="4" t="s">
        <v>7</v>
      </c>
      <c r="H344" s="5"/>
      <c r="I344" s="5" t="s">
        <v>6</v>
      </c>
      <c r="J344" s="5"/>
    </row>
    <row r="345" spans="1:13">
      <c r="B345" s="4" t="s">
        <v>8</v>
      </c>
      <c r="C345" s="4" t="s">
        <v>8</v>
      </c>
      <c r="D345" s="4" t="s">
        <v>9</v>
      </c>
      <c r="E345" s="4" t="s">
        <v>8</v>
      </c>
      <c r="F345" s="5" t="s">
        <v>9</v>
      </c>
      <c r="G345" s="5" t="s">
        <v>8</v>
      </c>
      <c r="H345" s="5" t="s">
        <v>9</v>
      </c>
      <c r="I345" s="5" t="s">
        <v>8</v>
      </c>
      <c r="J345" s="5" t="s">
        <v>9</v>
      </c>
    </row>
    <row r="346" spans="1:13">
      <c r="B346" s="4"/>
      <c r="C346" s="4"/>
      <c r="D346" s="4"/>
      <c r="E346" s="4"/>
      <c r="F346" s="4"/>
      <c r="G346" s="4"/>
      <c r="H346" s="4"/>
      <c r="I346" s="4"/>
      <c r="J346" s="4"/>
    </row>
    <row r="347" spans="1:13">
      <c r="A347" s="3" t="s">
        <v>10</v>
      </c>
      <c r="B347" s="6">
        <f>C347+G347</f>
        <v>577745</v>
      </c>
      <c r="C347" s="7">
        <v>55476</v>
      </c>
      <c r="D347" s="8">
        <f t="shared" ref="D347:D352" si="62">C347/B347</f>
        <v>9.602160122545414E-2</v>
      </c>
      <c r="E347" s="12">
        <v>26709946</v>
      </c>
      <c r="F347" s="10">
        <f>E347/(E347+I347)</f>
        <v>9.5727236104143063E-2</v>
      </c>
      <c r="G347" s="11">
        <v>522269</v>
      </c>
      <c r="H347" s="10">
        <f t="shared" ref="H347:H352" si="63">G347/B347</f>
        <v>0.90397839877454589</v>
      </c>
      <c r="I347" s="12">
        <v>252311439</v>
      </c>
      <c r="J347" s="10">
        <f>I347/(E347+I347)</f>
        <v>0.90427276389585698</v>
      </c>
    </row>
    <row r="348" spans="1:13">
      <c r="A348" s="3" t="s">
        <v>11</v>
      </c>
      <c r="B348" s="6">
        <f>C348+G348</f>
        <v>62772</v>
      </c>
      <c r="C348" s="7">
        <v>17015</v>
      </c>
      <c r="D348" s="8">
        <f t="shared" si="62"/>
        <v>0.27106034537691964</v>
      </c>
      <c r="E348" s="12">
        <v>14685717</v>
      </c>
      <c r="F348" s="10">
        <f>E348/(E348+I348)</f>
        <v>0.2887372717022505</v>
      </c>
      <c r="G348" s="11">
        <v>45757</v>
      </c>
      <c r="H348" s="10">
        <f t="shared" si="63"/>
        <v>0.7289396546230803</v>
      </c>
      <c r="I348" s="12">
        <v>36176151</v>
      </c>
      <c r="J348" s="10">
        <f>I348/(E348+I348)</f>
        <v>0.7112627282977495</v>
      </c>
    </row>
    <row r="349" spans="1:13">
      <c r="A349" s="3" t="s">
        <v>12</v>
      </c>
      <c r="B349" s="6">
        <f>C349+G349</f>
        <v>11063</v>
      </c>
      <c r="C349" s="7">
        <v>5266</v>
      </c>
      <c r="D349" s="8">
        <f t="shared" si="62"/>
        <v>0.47600108469673685</v>
      </c>
      <c r="E349" s="12">
        <v>105358580</v>
      </c>
      <c r="F349" s="10">
        <f>E349/(E349+I349)</f>
        <v>0.63408474732697273</v>
      </c>
      <c r="G349" s="11">
        <v>5797</v>
      </c>
      <c r="H349" s="10">
        <f t="shared" si="63"/>
        <v>0.52399891530326315</v>
      </c>
      <c r="I349" s="12">
        <v>60799935</v>
      </c>
      <c r="J349" s="10">
        <f>I349/(E349+I349)</f>
        <v>0.36591525267302732</v>
      </c>
    </row>
    <row r="350" spans="1:13">
      <c r="A350" s="3" t="s">
        <v>13</v>
      </c>
      <c r="B350" s="6">
        <f>C350+G350</f>
        <v>405</v>
      </c>
      <c r="C350" s="7">
        <v>355</v>
      </c>
      <c r="D350" s="8">
        <f t="shared" si="62"/>
        <v>0.87654320987654322</v>
      </c>
      <c r="E350" s="12">
        <v>291901941</v>
      </c>
      <c r="F350" s="10">
        <f>E350/(E350+I350)</f>
        <v>0.9791987269092286</v>
      </c>
      <c r="G350" s="11">
        <v>50</v>
      </c>
      <c r="H350" s="10">
        <f t="shared" si="63"/>
        <v>0.12345679012345678</v>
      </c>
      <c r="I350" s="12">
        <v>6200919</v>
      </c>
      <c r="J350" s="10">
        <f>I350/(E350+I350)</f>
        <v>2.080127309077142E-2</v>
      </c>
    </row>
    <row r="351" spans="1:13">
      <c r="A351" s="3" t="s">
        <v>14</v>
      </c>
      <c r="B351" s="6">
        <f>C351+G351</f>
        <v>5764</v>
      </c>
      <c r="C351" s="7">
        <v>1509</v>
      </c>
      <c r="D351" s="8">
        <f t="shared" si="62"/>
        <v>0.26179736294240114</v>
      </c>
      <c r="E351" s="12">
        <v>730908</v>
      </c>
      <c r="F351" s="10">
        <f>E351/(E351+I350)</f>
        <v>0.10544233143729641</v>
      </c>
      <c r="G351" s="11">
        <v>4255</v>
      </c>
      <c r="H351" s="10">
        <f t="shared" si="63"/>
        <v>0.73820263705759892</v>
      </c>
      <c r="I351" s="13">
        <v>443806</v>
      </c>
      <c r="J351" s="10">
        <f>I350/(E351+I350)</f>
        <v>0.89455766856270358</v>
      </c>
      <c r="M351" s="14"/>
    </row>
    <row r="352" spans="1:13" ht="15.75">
      <c r="B352" s="15">
        <f>SUM(B347:B351)</f>
        <v>657749</v>
      </c>
      <c r="C352" s="16">
        <f>SUM(C347:C351)</f>
        <v>79621</v>
      </c>
      <c r="D352" s="17">
        <f t="shared" si="62"/>
        <v>0.12105073515885238</v>
      </c>
      <c r="E352" s="18">
        <f>SUM(E347:E351)</f>
        <v>439387092</v>
      </c>
      <c r="F352" s="10">
        <f>E352/(E352+I352)</f>
        <v>0.55246624694813473</v>
      </c>
      <c r="G352" s="18">
        <f>SUM(G347:G351)</f>
        <v>578128</v>
      </c>
      <c r="H352" s="17">
        <f t="shared" si="63"/>
        <v>0.87894926484114766</v>
      </c>
      <c r="I352" s="18">
        <f>SUM(I347:I351)</f>
        <v>355932250</v>
      </c>
      <c r="J352" s="10">
        <f>I352/(E352+I352)</f>
        <v>0.44753375305186532</v>
      </c>
    </row>
    <row r="353" spans="1:13" ht="15.75">
      <c r="A353" s="1" t="s">
        <v>0</v>
      </c>
      <c r="B353" s="3"/>
      <c r="J353" s="3"/>
    </row>
    <row r="354" spans="1:13" ht="15.75">
      <c r="A354" s="1" t="s">
        <v>47</v>
      </c>
      <c r="B354" s="2">
        <v>2</v>
      </c>
      <c r="C354" s="2" t="s">
        <v>2</v>
      </c>
      <c r="D354" s="2"/>
      <c r="E354" s="2"/>
      <c r="F354" s="2"/>
      <c r="G354" s="2" t="s">
        <v>3</v>
      </c>
      <c r="H354" s="2"/>
      <c r="I354" s="2"/>
      <c r="J354" s="2"/>
    </row>
    <row r="355" spans="1:13">
      <c r="B355" s="4" t="s">
        <v>4</v>
      </c>
      <c r="C355" s="4" t="s">
        <v>5</v>
      </c>
      <c r="D355" s="4"/>
      <c r="E355" s="4" t="s">
        <v>6</v>
      </c>
      <c r="F355" s="5"/>
      <c r="G355" s="4" t="s">
        <v>7</v>
      </c>
      <c r="H355" s="5"/>
      <c r="I355" s="5" t="s">
        <v>6</v>
      </c>
      <c r="J355" s="5"/>
    </row>
    <row r="356" spans="1:13">
      <c r="B356" s="4" t="s">
        <v>8</v>
      </c>
      <c r="C356" s="4" t="s">
        <v>8</v>
      </c>
      <c r="D356" s="4" t="s">
        <v>9</v>
      </c>
      <c r="E356" s="4" t="s">
        <v>8</v>
      </c>
      <c r="F356" s="5" t="s">
        <v>9</v>
      </c>
      <c r="G356" s="5" t="s">
        <v>8</v>
      </c>
      <c r="H356" s="5" t="s">
        <v>9</v>
      </c>
      <c r="I356" s="5" t="s">
        <v>8</v>
      </c>
      <c r="J356" s="5" t="s">
        <v>9</v>
      </c>
    </row>
    <row r="357" spans="1:13">
      <c r="B357" s="4"/>
      <c r="C357" s="4"/>
      <c r="D357" s="4"/>
      <c r="E357" s="4"/>
      <c r="F357" s="4"/>
      <c r="G357" s="4"/>
      <c r="H357" s="4"/>
      <c r="I357" s="4"/>
      <c r="J357" s="4"/>
    </row>
    <row r="358" spans="1:13">
      <c r="A358" s="3" t="s">
        <v>10</v>
      </c>
      <c r="B358" s="6">
        <f>C358+G358</f>
        <v>576999</v>
      </c>
      <c r="C358" s="7">
        <v>55579</v>
      </c>
      <c r="D358" s="8">
        <f t="shared" ref="D358:D363" si="64">C358/B358</f>
        <v>9.632425706110409E-2</v>
      </c>
      <c r="E358" s="12">
        <v>26678279</v>
      </c>
      <c r="F358" s="10">
        <f>E358/(E358+I358)</f>
        <v>9.4733002079988707E-2</v>
      </c>
      <c r="G358" s="11">
        <v>521420</v>
      </c>
      <c r="H358" s="10">
        <f t="shared" ref="H358:H363" si="65">G358/B358</f>
        <v>0.90367574293889585</v>
      </c>
      <c r="I358" s="12">
        <v>254937192</v>
      </c>
      <c r="J358" s="10">
        <f>I358/(E358+I358)</f>
        <v>0.90526699792001131</v>
      </c>
    </row>
    <row r="359" spans="1:13">
      <c r="A359" s="3" t="s">
        <v>11</v>
      </c>
      <c r="B359" s="6">
        <f>C359+G359</f>
        <v>62555</v>
      </c>
      <c r="C359" s="7">
        <v>17017</v>
      </c>
      <c r="D359" s="8">
        <f t="shared" si="64"/>
        <v>0.27203261130205419</v>
      </c>
      <c r="E359" s="12">
        <v>14425325</v>
      </c>
      <c r="F359" s="10">
        <f>E359/(E359+I359)</f>
        <v>0.29674342689033079</v>
      </c>
      <c r="G359" s="11">
        <v>45538</v>
      </c>
      <c r="H359" s="10">
        <f t="shared" si="65"/>
        <v>0.72796738869794586</v>
      </c>
      <c r="I359" s="12">
        <v>34186788</v>
      </c>
      <c r="J359" s="10">
        <f>I359/(E359+I359)</f>
        <v>0.70325657310966916</v>
      </c>
    </row>
    <row r="360" spans="1:13">
      <c r="A360" s="3" t="s">
        <v>12</v>
      </c>
      <c r="B360" s="6">
        <f>C360+G360</f>
        <v>11127</v>
      </c>
      <c r="C360" s="7">
        <v>5331</v>
      </c>
      <c r="D360" s="8">
        <f t="shared" si="64"/>
        <v>0.47910488002156915</v>
      </c>
      <c r="E360" s="12">
        <v>103752392</v>
      </c>
      <c r="F360" s="10">
        <f>E360/(E360+I360)</f>
        <v>0.64716131464019422</v>
      </c>
      <c r="G360" s="11">
        <v>5796</v>
      </c>
      <c r="H360" s="10">
        <f t="shared" si="65"/>
        <v>0.52089511997843085</v>
      </c>
      <c r="I360" s="12">
        <v>56566820</v>
      </c>
      <c r="J360" s="10">
        <f>I360/(E360+I360)</f>
        <v>0.35283868535980578</v>
      </c>
    </row>
    <row r="361" spans="1:13">
      <c r="A361" s="3" t="s">
        <v>13</v>
      </c>
      <c r="B361" s="6">
        <f>C361+G361</f>
        <v>399</v>
      </c>
      <c r="C361" s="7">
        <v>348</v>
      </c>
      <c r="D361" s="8">
        <f t="shared" si="64"/>
        <v>0.8721804511278195</v>
      </c>
      <c r="E361" s="12">
        <v>230199811</v>
      </c>
      <c r="F361" s="10">
        <f>E361/(E361+I361)</f>
        <v>0.97293612795870354</v>
      </c>
      <c r="G361" s="11">
        <v>51</v>
      </c>
      <c r="H361" s="10">
        <f t="shared" si="65"/>
        <v>0.12781954887218044</v>
      </c>
      <c r="I361" s="12">
        <v>6403399</v>
      </c>
      <c r="J361" s="10">
        <f>I361/(E361+I361)</f>
        <v>2.7063872041296483E-2</v>
      </c>
    </row>
    <row r="362" spans="1:13">
      <c r="A362" s="3" t="s">
        <v>14</v>
      </c>
      <c r="B362" s="6">
        <f>C362+G362</f>
        <v>5761</v>
      </c>
      <c r="C362" s="7">
        <v>1507</v>
      </c>
      <c r="D362" s="8">
        <f t="shared" si="64"/>
        <v>0.26158653011629923</v>
      </c>
      <c r="E362" s="12">
        <v>764084</v>
      </c>
      <c r="F362" s="10">
        <f>E362/(E362+I361)</f>
        <v>0.1066042291275752</v>
      </c>
      <c r="G362" s="11">
        <v>4254</v>
      </c>
      <c r="H362" s="10">
        <f t="shared" si="65"/>
        <v>0.73841346988370071</v>
      </c>
      <c r="I362" s="13">
        <v>579459</v>
      </c>
      <c r="J362" s="10">
        <f>I361/(E362+I361)</f>
        <v>0.89339577087242483</v>
      </c>
      <c r="M362" s="14"/>
    </row>
    <row r="363" spans="1:13" ht="15.75">
      <c r="B363" s="15">
        <f>SUM(B358:B362)</f>
        <v>656841</v>
      </c>
      <c r="C363" s="16">
        <f>SUM(C358:C362)</f>
        <v>79782</v>
      </c>
      <c r="D363" s="17">
        <f t="shared" si="64"/>
        <v>0.12146318515439809</v>
      </c>
      <c r="E363" s="18">
        <f>SUM(E358:E362)</f>
        <v>375819891</v>
      </c>
      <c r="F363" s="10">
        <f>E363/(E363+I363)</f>
        <v>0.51588636785581199</v>
      </c>
      <c r="G363" s="18">
        <f>SUM(G358:G362)</f>
        <v>577059</v>
      </c>
      <c r="H363" s="17">
        <f t="shared" si="65"/>
        <v>0.87853681484560187</v>
      </c>
      <c r="I363" s="18">
        <f>SUM(I358:I362)</f>
        <v>352673658</v>
      </c>
      <c r="J363" s="10">
        <f>I363/(E363+I363)</f>
        <v>0.48411363214418801</v>
      </c>
    </row>
    <row r="364" spans="1:13" ht="15.75">
      <c r="A364" s="1" t="s">
        <v>0</v>
      </c>
      <c r="B364" s="3"/>
      <c r="J364" s="3"/>
    </row>
    <row r="365" spans="1:13" ht="15.75">
      <c r="A365" s="1" t="s">
        <v>48</v>
      </c>
      <c r="B365" s="2">
        <v>2</v>
      </c>
      <c r="C365" s="2" t="s">
        <v>2</v>
      </c>
      <c r="D365" s="2"/>
      <c r="E365" s="2"/>
      <c r="F365" s="2"/>
      <c r="G365" s="2" t="s">
        <v>3</v>
      </c>
      <c r="H365" s="2"/>
      <c r="I365" s="2"/>
      <c r="J365" s="2"/>
    </row>
    <row r="366" spans="1:13">
      <c r="B366" s="4" t="s">
        <v>4</v>
      </c>
      <c r="C366" s="4" t="s">
        <v>5</v>
      </c>
      <c r="D366" s="4"/>
      <c r="E366" s="4" t="s">
        <v>6</v>
      </c>
      <c r="F366" s="5"/>
      <c r="G366" s="4" t="s">
        <v>7</v>
      </c>
      <c r="H366" s="5"/>
      <c r="I366" s="5" t="s">
        <v>6</v>
      </c>
      <c r="J366" s="5"/>
    </row>
    <row r="367" spans="1:13">
      <c r="B367" s="4" t="s">
        <v>8</v>
      </c>
      <c r="C367" s="4" t="s">
        <v>8</v>
      </c>
      <c r="D367" s="4" t="s">
        <v>9</v>
      </c>
      <c r="E367" s="4" t="s">
        <v>8</v>
      </c>
      <c r="F367" s="5" t="s">
        <v>9</v>
      </c>
      <c r="G367" s="5" t="s">
        <v>8</v>
      </c>
      <c r="H367" s="5" t="s">
        <v>9</v>
      </c>
      <c r="I367" s="5" t="s">
        <v>8</v>
      </c>
      <c r="J367" s="5" t="s">
        <v>9</v>
      </c>
    </row>
    <row r="368" spans="1:13">
      <c r="B368" s="4"/>
      <c r="C368" s="4"/>
      <c r="D368" s="4"/>
      <c r="E368" s="4"/>
      <c r="F368" s="4"/>
      <c r="G368" s="4"/>
      <c r="H368" s="4"/>
      <c r="I368" s="4"/>
      <c r="J368" s="4"/>
    </row>
    <row r="369" spans="1:13">
      <c r="A369" s="3" t="s">
        <v>10</v>
      </c>
      <c r="B369" s="6">
        <f>C369+G369</f>
        <v>547574</v>
      </c>
      <c r="C369" s="7">
        <v>52010</v>
      </c>
      <c r="D369" s="8">
        <f t="shared" ref="D369:D374" si="66">C369/B369</f>
        <v>9.4982595959632848E-2</v>
      </c>
      <c r="E369" s="12">
        <v>28166589</v>
      </c>
      <c r="F369" s="10">
        <f>E369/(E369+I369)</f>
        <v>9.1078540085056517E-2</v>
      </c>
      <c r="G369" s="11">
        <v>495564</v>
      </c>
      <c r="H369" s="10">
        <f t="shared" ref="H369:H374" si="67">G369/B369</f>
        <v>0.90501740404036712</v>
      </c>
      <c r="I369" s="12">
        <v>281089455</v>
      </c>
      <c r="J369" s="10">
        <f>I369/(E369+I369)</f>
        <v>0.90892145991494344</v>
      </c>
    </row>
    <row r="370" spans="1:13">
      <c r="A370" s="3" t="s">
        <v>11</v>
      </c>
      <c r="B370" s="6">
        <f>C370+G370</f>
        <v>59121</v>
      </c>
      <c r="C370" s="7">
        <v>16063</v>
      </c>
      <c r="D370" s="8">
        <f t="shared" si="66"/>
        <v>0.2716970281287529</v>
      </c>
      <c r="E370" s="12">
        <v>15213954</v>
      </c>
      <c r="F370" s="10">
        <f>E370/(E370+I370)</f>
        <v>0.29386003728985827</v>
      </c>
      <c r="G370" s="11">
        <v>43058</v>
      </c>
      <c r="H370" s="10">
        <f t="shared" si="67"/>
        <v>0.72830297187124715</v>
      </c>
      <c r="I370" s="12">
        <v>36558836</v>
      </c>
      <c r="J370" s="10">
        <f>I370/(E370+I370)</f>
        <v>0.70613996271014179</v>
      </c>
    </row>
    <row r="371" spans="1:13">
      <c r="A371" s="3" t="s">
        <v>12</v>
      </c>
      <c r="B371" s="6">
        <f>C371+G371</f>
        <v>10529</v>
      </c>
      <c r="C371" s="7">
        <v>4991</v>
      </c>
      <c r="D371" s="8">
        <f t="shared" si="66"/>
        <v>0.47402412384841863</v>
      </c>
      <c r="E371" s="12">
        <v>97394441</v>
      </c>
      <c r="F371" s="10">
        <f>E371/(E371+I371)</f>
        <v>0.63098226138304658</v>
      </c>
      <c r="G371" s="11">
        <v>5538</v>
      </c>
      <c r="H371" s="10">
        <f t="shared" si="67"/>
        <v>0.52597587615158137</v>
      </c>
      <c r="I371" s="12">
        <v>56959250</v>
      </c>
      <c r="J371" s="10">
        <f>I371/(E371+I371)</f>
        <v>0.36901773861695347</v>
      </c>
    </row>
    <row r="372" spans="1:13">
      <c r="A372" s="3" t="s">
        <v>13</v>
      </c>
      <c r="B372" s="6">
        <f>C372+G372</f>
        <v>344</v>
      </c>
      <c r="C372" s="7">
        <v>302</v>
      </c>
      <c r="D372" s="8">
        <f t="shared" si="66"/>
        <v>0.87790697674418605</v>
      </c>
      <c r="E372" s="12">
        <v>122316008</v>
      </c>
      <c r="F372" s="10">
        <f>E372/(E372+I372)</f>
        <v>0.96252126604415456</v>
      </c>
      <c r="G372" s="11">
        <v>42</v>
      </c>
      <c r="H372" s="10">
        <f t="shared" si="67"/>
        <v>0.12209302325581395</v>
      </c>
      <c r="I372" s="12">
        <v>4762751</v>
      </c>
      <c r="J372" s="10">
        <f>I372/(E372+I372)</f>
        <v>3.7478733955845445E-2</v>
      </c>
    </row>
    <row r="373" spans="1:13">
      <c r="A373" s="3" t="s">
        <v>14</v>
      </c>
      <c r="B373" s="6">
        <f>C373+G373</f>
        <v>5521</v>
      </c>
      <c r="C373" s="7">
        <v>1423</v>
      </c>
      <c r="D373" s="8">
        <f t="shared" si="66"/>
        <v>0.25774316247056694</v>
      </c>
      <c r="E373" s="12">
        <v>926580</v>
      </c>
      <c r="F373" s="10">
        <f>E373/(E373+I372)</f>
        <v>0.16286273377309213</v>
      </c>
      <c r="G373" s="11">
        <v>4098</v>
      </c>
      <c r="H373" s="10">
        <f t="shared" si="67"/>
        <v>0.74225683752943306</v>
      </c>
      <c r="I373" s="13">
        <v>656162</v>
      </c>
      <c r="J373" s="10">
        <f>I372/(E373+I372)</f>
        <v>0.83713726622690787</v>
      </c>
      <c r="M373" s="14"/>
    </row>
    <row r="374" spans="1:13" ht="15.75">
      <c r="B374" s="15">
        <f>SUM(B369:B373)</f>
        <v>623089</v>
      </c>
      <c r="C374" s="16">
        <f>SUM(C369:C373)</f>
        <v>74789</v>
      </c>
      <c r="D374" s="17">
        <f t="shared" si="66"/>
        <v>0.12002940189924714</v>
      </c>
      <c r="E374" s="18">
        <f>SUM(E369:E373)</f>
        <v>264017572</v>
      </c>
      <c r="F374" s="10">
        <f>E374/(E374+I374)</f>
        <v>0.4099371492345773</v>
      </c>
      <c r="G374" s="18">
        <f>SUM(G369:G373)</f>
        <v>548300</v>
      </c>
      <c r="H374" s="17">
        <f t="shared" si="67"/>
        <v>0.87997059810075284</v>
      </c>
      <c r="I374" s="18">
        <f>SUM(I369:I373)</f>
        <v>380026454</v>
      </c>
      <c r="J374" s="10">
        <f>I374/(E374+I374)</f>
        <v>0.59006285076542264</v>
      </c>
    </row>
    <row r="375" spans="1:13" ht="15.75">
      <c r="A375" s="1" t="s">
        <v>0</v>
      </c>
      <c r="B375" s="3"/>
      <c r="J375" s="3"/>
    </row>
    <row r="376" spans="1:13" ht="15.75">
      <c r="A376" s="1" t="s">
        <v>49</v>
      </c>
      <c r="B376" s="2">
        <v>2</v>
      </c>
      <c r="C376" s="2" t="s">
        <v>2</v>
      </c>
      <c r="D376" s="2"/>
      <c r="E376" s="2"/>
      <c r="F376" s="2"/>
      <c r="G376" s="2" t="s">
        <v>3</v>
      </c>
      <c r="H376" s="2"/>
      <c r="I376" s="2"/>
      <c r="J376" s="2"/>
    </row>
    <row r="377" spans="1:13">
      <c r="B377" s="4" t="s">
        <v>4</v>
      </c>
      <c r="C377" s="4" t="s">
        <v>5</v>
      </c>
      <c r="D377" s="4"/>
      <c r="E377" s="4" t="s">
        <v>6</v>
      </c>
      <c r="F377" s="5"/>
      <c r="G377" s="4" t="s">
        <v>7</v>
      </c>
      <c r="H377" s="5"/>
      <c r="I377" s="5" t="s">
        <v>6</v>
      </c>
      <c r="J377" s="5"/>
    </row>
    <row r="378" spans="1:13">
      <c r="B378" s="4" t="s">
        <v>8</v>
      </c>
      <c r="C378" s="4" t="s">
        <v>8</v>
      </c>
      <c r="D378" s="4" t="s">
        <v>9</v>
      </c>
      <c r="E378" s="4" t="s">
        <v>8</v>
      </c>
      <c r="F378" s="5" t="s">
        <v>9</v>
      </c>
      <c r="G378" s="5" t="s">
        <v>8</v>
      </c>
      <c r="H378" s="5" t="s">
        <v>9</v>
      </c>
      <c r="I378" s="5" t="s">
        <v>8</v>
      </c>
      <c r="J378" s="5" t="s">
        <v>9</v>
      </c>
    </row>
    <row r="379" spans="1:13">
      <c r="B379" s="4"/>
      <c r="C379" s="4"/>
      <c r="D379" s="4"/>
      <c r="E379" s="4"/>
      <c r="F379" s="4"/>
      <c r="G379" s="4"/>
      <c r="H379" s="4"/>
      <c r="I379" s="4"/>
      <c r="J379" s="4"/>
    </row>
    <row r="380" spans="1:13">
      <c r="A380" s="3" t="s">
        <v>10</v>
      </c>
      <c r="B380" s="6">
        <f>C380+G380</f>
        <v>576404</v>
      </c>
      <c r="C380" s="7">
        <v>54088</v>
      </c>
      <c r="D380" s="8">
        <f t="shared" ref="D380:D385" si="68">C380/B380</f>
        <v>9.3836961575561581E-2</v>
      </c>
      <c r="E380" s="12">
        <v>34505192</v>
      </c>
      <c r="F380" s="10">
        <f>E380/(E380+I380)</f>
        <v>8.6757639744602918E-2</v>
      </c>
      <c r="G380" s="11">
        <v>522316</v>
      </c>
      <c r="H380" s="10">
        <f t="shared" ref="H380:H385" si="69">G380/B380</f>
        <v>0.90616303842443846</v>
      </c>
      <c r="I380" s="12">
        <v>363214157</v>
      </c>
      <c r="J380" s="10">
        <f>I380/(E380+I380)</f>
        <v>0.91324236025539707</v>
      </c>
    </row>
    <row r="381" spans="1:13">
      <c r="A381" s="3" t="s">
        <v>11</v>
      </c>
      <c r="B381" s="6">
        <f>C381+G381</f>
        <v>62332</v>
      </c>
      <c r="C381" s="7">
        <v>16787</v>
      </c>
      <c r="D381" s="8">
        <f t="shared" si="68"/>
        <v>0.26931592119617531</v>
      </c>
      <c r="E381" s="12">
        <v>17788653</v>
      </c>
      <c r="F381" s="10">
        <f>E381/(E381+I381)</f>
        <v>0.27651522034654502</v>
      </c>
      <c r="G381" s="11">
        <v>45545</v>
      </c>
      <c r="H381" s="10">
        <f t="shared" si="69"/>
        <v>0.73068407880382469</v>
      </c>
      <c r="I381" s="12">
        <v>46542898</v>
      </c>
      <c r="J381" s="10">
        <f>I381/(E381+I381)</f>
        <v>0.72348477965345492</v>
      </c>
    </row>
    <row r="382" spans="1:13">
      <c r="A382" s="3" t="s">
        <v>12</v>
      </c>
      <c r="B382" s="6">
        <f>C382+G382</f>
        <v>11112</v>
      </c>
      <c r="C382" s="7">
        <v>5131</v>
      </c>
      <c r="D382" s="8">
        <f t="shared" si="68"/>
        <v>0.46175305975521957</v>
      </c>
      <c r="E382" s="12">
        <v>113310131</v>
      </c>
      <c r="F382" s="10">
        <f>E382/(E382+I382)</f>
        <v>0.62576041524156212</v>
      </c>
      <c r="G382" s="11">
        <v>5981</v>
      </c>
      <c r="H382" s="10">
        <f t="shared" si="69"/>
        <v>0.53824694024478037</v>
      </c>
      <c r="I382" s="12">
        <v>67765770</v>
      </c>
      <c r="J382" s="10">
        <f>I382/(E382+I382)</f>
        <v>0.37423958475843783</v>
      </c>
    </row>
    <row r="383" spans="1:13">
      <c r="A383" s="3" t="s">
        <v>13</v>
      </c>
      <c r="B383" s="6">
        <f>C383+G383</f>
        <v>387</v>
      </c>
      <c r="C383" s="7">
        <v>334</v>
      </c>
      <c r="D383" s="8">
        <f t="shared" si="68"/>
        <v>0.86304909560723519</v>
      </c>
      <c r="E383" s="12">
        <v>267877942</v>
      </c>
      <c r="F383" s="10">
        <f>E383/(E383+I383)</f>
        <v>0.97642528641615345</v>
      </c>
      <c r="G383" s="11">
        <v>53</v>
      </c>
      <c r="H383" s="10">
        <f t="shared" si="69"/>
        <v>0.13695090439276486</v>
      </c>
      <c r="I383" s="12">
        <v>6467618</v>
      </c>
      <c r="J383" s="10">
        <f>I383/(E383+I383)</f>
        <v>2.357471358384659E-2</v>
      </c>
    </row>
    <row r="384" spans="1:13">
      <c r="A384" s="3" t="s">
        <v>14</v>
      </c>
      <c r="B384" s="6">
        <f>C384+G384</f>
        <v>5838</v>
      </c>
      <c r="C384" s="7">
        <v>1478</v>
      </c>
      <c r="D384" s="8">
        <f t="shared" si="68"/>
        <v>0.25316889345666321</v>
      </c>
      <c r="E384" s="12">
        <v>1799617</v>
      </c>
      <c r="F384" s="10">
        <f>E384/(E384+I383)</f>
        <v>0.21768063929475817</v>
      </c>
      <c r="G384" s="11">
        <v>4360</v>
      </c>
      <c r="H384" s="10">
        <f t="shared" si="69"/>
        <v>0.74683110654333673</v>
      </c>
      <c r="I384" s="13">
        <v>1210074</v>
      </c>
      <c r="J384" s="10">
        <f>I383/(E384+I383)</f>
        <v>0.78231936070524188</v>
      </c>
      <c r="M384" s="14"/>
    </row>
    <row r="385" spans="1:13" ht="15.75">
      <c r="B385" s="15">
        <f>SUM(B380:B384)</f>
        <v>656073</v>
      </c>
      <c r="C385" s="16">
        <f>SUM(C380:C384)</f>
        <v>77818</v>
      </c>
      <c r="D385" s="17">
        <f t="shared" si="68"/>
        <v>0.11861180082094523</v>
      </c>
      <c r="E385" s="18">
        <f>SUM(E380:E384)</f>
        <v>435281535</v>
      </c>
      <c r="F385" s="10">
        <f>E385/(E385+I385)</f>
        <v>0.47288432626603782</v>
      </c>
      <c r="G385" s="18">
        <f>SUM(G380:G384)</f>
        <v>578255</v>
      </c>
      <c r="H385" s="17">
        <f t="shared" si="69"/>
        <v>0.88138819917905475</v>
      </c>
      <c r="I385" s="18">
        <f>SUM(I380:I384)</f>
        <v>485200517</v>
      </c>
      <c r="J385" s="10">
        <f>I385/(E385+I385)</f>
        <v>0.52711567373396218</v>
      </c>
    </row>
    <row r="386" spans="1:13" ht="15.75">
      <c r="A386" s="1" t="s">
        <v>0</v>
      </c>
      <c r="B386" s="3"/>
      <c r="J386" s="3"/>
    </row>
    <row r="387" spans="1:13" ht="15.75">
      <c r="A387" s="1" t="s">
        <v>50</v>
      </c>
      <c r="B387" s="2">
        <v>2</v>
      </c>
      <c r="C387" s="2" t="s">
        <v>2</v>
      </c>
      <c r="D387" s="2"/>
      <c r="E387" s="2"/>
      <c r="F387" s="2"/>
      <c r="G387" s="2" t="s">
        <v>3</v>
      </c>
      <c r="H387" s="2"/>
      <c r="I387" s="2"/>
      <c r="J387" s="2"/>
    </row>
    <row r="388" spans="1:13">
      <c r="B388" s="4" t="s">
        <v>4</v>
      </c>
      <c r="C388" s="4" t="s">
        <v>5</v>
      </c>
      <c r="D388" s="4"/>
      <c r="E388" s="4" t="s">
        <v>6</v>
      </c>
      <c r="F388" s="5"/>
      <c r="G388" s="4" t="s">
        <v>7</v>
      </c>
      <c r="H388" s="5"/>
      <c r="I388" s="5" t="s">
        <v>6</v>
      </c>
      <c r="J388" s="5"/>
    </row>
    <row r="389" spans="1:13">
      <c r="B389" s="4" t="s">
        <v>8</v>
      </c>
      <c r="C389" s="4" t="s">
        <v>8</v>
      </c>
      <c r="D389" s="4" t="s">
        <v>9</v>
      </c>
      <c r="E389" s="4" t="s">
        <v>8</v>
      </c>
      <c r="F389" s="5" t="s">
        <v>9</v>
      </c>
      <c r="G389" s="5" t="s">
        <v>8</v>
      </c>
      <c r="H389" s="5" t="s">
        <v>9</v>
      </c>
      <c r="I389" s="5" t="s">
        <v>8</v>
      </c>
      <c r="J389" s="5" t="s">
        <v>9</v>
      </c>
    </row>
    <row r="390" spans="1:13">
      <c r="B390" s="4"/>
      <c r="C390" s="4"/>
      <c r="D390" s="4"/>
      <c r="E390" s="4"/>
      <c r="F390" s="4"/>
      <c r="G390" s="4"/>
      <c r="H390" s="4"/>
      <c r="I390" s="4"/>
      <c r="J390" s="4"/>
    </row>
    <row r="391" spans="1:13">
      <c r="A391" s="3" t="s">
        <v>10</v>
      </c>
      <c r="B391" s="6">
        <f>C391+G391</f>
        <v>520534</v>
      </c>
      <c r="C391" s="7">
        <v>48644</v>
      </c>
      <c r="D391" s="8">
        <f t="shared" ref="D391:D396" si="70">C391/B391</f>
        <v>9.3450187691870273E-2</v>
      </c>
      <c r="E391" s="12">
        <v>32294639</v>
      </c>
      <c r="F391" s="10">
        <f>E391/(E391+I391)</f>
        <v>8.571633354101274E-2</v>
      </c>
      <c r="G391" s="11">
        <v>471890</v>
      </c>
      <c r="H391" s="10">
        <f t="shared" ref="H391:H396" si="71">G391/B391</f>
        <v>0.9065498123081297</v>
      </c>
      <c r="I391" s="12">
        <v>344467148</v>
      </c>
      <c r="J391" s="10">
        <f>I391/(E391+I391)</f>
        <v>0.91428366645898729</v>
      </c>
    </row>
    <row r="392" spans="1:13">
      <c r="A392" s="3" t="s">
        <v>11</v>
      </c>
      <c r="B392" s="6">
        <f>C392+G392</f>
        <v>56200</v>
      </c>
      <c r="C392" s="7">
        <v>15070</v>
      </c>
      <c r="D392" s="8">
        <f t="shared" si="70"/>
        <v>0.26814946619217084</v>
      </c>
      <c r="E392" s="12">
        <v>15583338</v>
      </c>
      <c r="F392" s="10">
        <f>E392/(E392+I392)</f>
        <v>0.26597389221537265</v>
      </c>
      <c r="G392" s="11">
        <v>41130</v>
      </c>
      <c r="H392" s="10">
        <f t="shared" si="71"/>
        <v>0.73185053380782916</v>
      </c>
      <c r="I392" s="12">
        <v>43006390</v>
      </c>
      <c r="J392" s="10">
        <f>I392/(E392+I392)</f>
        <v>0.7340261077846274</v>
      </c>
    </row>
    <row r="393" spans="1:13">
      <c r="A393" s="3" t="s">
        <v>12</v>
      </c>
      <c r="B393" s="6">
        <f>C393+G393</f>
        <v>10073</v>
      </c>
      <c r="C393" s="7">
        <v>4656</v>
      </c>
      <c r="D393" s="8">
        <f t="shared" si="70"/>
        <v>0.46222575201032462</v>
      </c>
      <c r="E393" s="12">
        <v>95810019</v>
      </c>
      <c r="F393" s="10">
        <f>E393/(E393+I393)</f>
        <v>0.61564173187277949</v>
      </c>
      <c r="G393" s="11">
        <v>5417</v>
      </c>
      <c r="H393" s="10">
        <f t="shared" si="71"/>
        <v>0.53777424798967532</v>
      </c>
      <c r="I393" s="12">
        <v>59816239</v>
      </c>
      <c r="J393" s="10">
        <f>I393/(E393+I393)</f>
        <v>0.38435826812722051</v>
      </c>
    </row>
    <row r="394" spans="1:13">
      <c r="A394" s="3" t="s">
        <v>13</v>
      </c>
      <c r="B394" s="6">
        <f>C394+G394</f>
        <v>348</v>
      </c>
      <c r="C394" s="7">
        <v>298</v>
      </c>
      <c r="D394" s="8">
        <f t="shared" si="70"/>
        <v>0.85632183908045978</v>
      </c>
      <c r="E394" s="12">
        <v>169559466</v>
      </c>
      <c r="F394" s="10">
        <f>E394/(E394+I394)</f>
        <v>0.96940988765295277</v>
      </c>
      <c r="G394" s="11">
        <v>50</v>
      </c>
      <c r="H394" s="10">
        <f t="shared" si="71"/>
        <v>0.14367816091954022</v>
      </c>
      <c r="I394" s="12">
        <v>5350516</v>
      </c>
      <c r="J394" s="10">
        <f>I394/(E394+I394)</f>
        <v>3.0590112347047178E-2</v>
      </c>
    </row>
    <row r="395" spans="1:13">
      <c r="A395" s="3" t="s">
        <v>14</v>
      </c>
      <c r="B395" s="6">
        <f>C395+G395</f>
        <v>4779</v>
      </c>
      <c r="C395" s="7">
        <v>1187</v>
      </c>
      <c r="D395" s="8">
        <f t="shared" si="70"/>
        <v>0.2483783218246495</v>
      </c>
      <c r="E395" s="12">
        <v>319963</v>
      </c>
      <c r="F395" s="10">
        <f>E395/(E395+I394)</f>
        <v>5.6426097336750566E-2</v>
      </c>
      <c r="G395" s="11">
        <v>3592</v>
      </c>
      <c r="H395" s="10">
        <f t="shared" si="71"/>
        <v>0.75162167817535053</v>
      </c>
      <c r="I395" s="13">
        <v>578446</v>
      </c>
      <c r="J395" s="10">
        <f>I394/(E395+I394)</f>
        <v>0.94357390266324948</v>
      </c>
      <c r="M395" s="14"/>
    </row>
    <row r="396" spans="1:13" ht="15.75">
      <c r="B396" s="15">
        <f>SUM(B391:B395)</f>
        <v>591934</v>
      </c>
      <c r="C396" s="16">
        <f>SUM(C391:C395)</f>
        <v>69855</v>
      </c>
      <c r="D396" s="17">
        <f t="shared" si="70"/>
        <v>0.11801146749468691</v>
      </c>
      <c r="E396" s="18">
        <f>SUM(E391:E395)</f>
        <v>313567425</v>
      </c>
      <c r="F396" s="10">
        <f>E396/(E396+I396)</f>
        <v>0.40893724968151618</v>
      </c>
      <c r="G396" s="18">
        <f>SUM(G391:G395)</f>
        <v>522079</v>
      </c>
      <c r="H396" s="17">
        <f t="shared" si="71"/>
        <v>0.88198853250531306</v>
      </c>
      <c r="I396" s="18">
        <f>SUM(I391:I395)</f>
        <v>453218739</v>
      </c>
      <c r="J396" s="10">
        <f>I396/(E396+I396)</f>
        <v>0.59106275031848388</v>
      </c>
    </row>
    <row r="397" spans="1:13" ht="15.75">
      <c r="A397" s="1" t="s">
        <v>0</v>
      </c>
      <c r="B397" s="3"/>
      <c r="J397" s="3"/>
    </row>
    <row r="398" spans="1:13" ht="15.75">
      <c r="A398" s="1" t="s">
        <v>51</v>
      </c>
      <c r="B398" s="2">
        <v>2</v>
      </c>
      <c r="C398" s="2" t="s">
        <v>2</v>
      </c>
      <c r="D398" s="2"/>
      <c r="E398" s="2"/>
      <c r="F398" s="2"/>
      <c r="G398" s="2" t="s">
        <v>3</v>
      </c>
      <c r="H398" s="2"/>
      <c r="I398" s="2"/>
      <c r="J398" s="2"/>
    </row>
    <row r="399" spans="1:13">
      <c r="B399" s="4" t="s">
        <v>4</v>
      </c>
      <c r="C399" s="4" t="s">
        <v>5</v>
      </c>
      <c r="D399" s="4"/>
      <c r="E399" s="4" t="s">
        <v>6</v>
      </c>
      <c r="F399" s="5"/>
      <c r="G399" s="4" t="s">
        <v>7</v>
      </c>
      <c r="H399" s="5"/>
      <c r="I399" s="5" t="s">
        <v>6</v>
      </c>
      <c r="J399" s="5"/>
    </row>
    <row r="400" spans="1:13">
      <c r="B400" s="4" t="s">
        <v>8</v>
      </c>
      <c r="C400" s="4" t="s">
        <v>8</v>
      </c>
      <c r="D400" s="4" t="s">
        <v>9</v>
      </c>
      <c r="E400" s="4" t="s">
        <v>8</v>
      </c>
      <c r="F400" s="5" t="s">
        <v>9</v>
      </c>
      <c r="G400" s="5" t="s">
        <v>8</v>
      </c>
      <c r="H400" s="5" t="s">
        <v>9</v>
      </c>
      <c r="I400" s="5" t="s">
        <v>8</v>
      </c>
      <c r="J400" s="5" t="s">
        <v>9</v>
      </c>
    </row>
    <row r="401" spans="1:13">
      <c r="B401" s="4"/>
      <c r="C401" s="4"/>
      <c r="D401" s="4"/>
      <c r="E401" s="4"/>
      <c r="F401" s="4"/>
      <c r="G401" s="4"/>
      <c r="H401" s="4"/>
      <c r="I401" s="4"/>
      <c r="J401" s="4"/>
    </row>
    <row r="402" spans="1:13">
      <c r="A402" s="3" t="s">
        <v>10</v>
      </c>
      <c r="B402" s="6">
        <f>C402+G402</f>
        <v>575017</v>
      </c>
      <c r="C402" s="7">
        <v>54257</v>
      </c>
      <c r="D402" s="8">
        <f t="shared" ref="D402:D407" si="72">C402/B402</f>
        <v>9.4357210308564796E-2</v>
      </c>
      <c r="E402" s="12">
        <v>38120581</v>
      </c>
      <c r="F402" s="10">
        <f>E402/(E402+I402)</f>
        <v>8.8192995630256357E-2</v>
      </c>
      <c r="G402" s="11">
        <v>520760</v>
      </c>
      <c r="H402" s="10">
        <f t="shared" ref="H402:H407" si="73">G402/B402</f>
        <v>0.90564278969143519</v>
      </c>
      <c r="I402" s="12">
        <v>394119879</v>
      </c>
      <c r="J402" s="10">
        <f>I402/(E402+I402)</f>
        <v>0.9118070043697436</v>
      </c>
    </row>
    <row r="403" spans="1:13">
      <c r="A403" s="3" t="s">
        <v>11</v>
      </c>
      <c r="B403" s="6">
        <f>C403+G403</f>
        <v>62108</v>
      </c>
      <c r="C403" s="7">
        <v>16590</v>
      </c>
      <c r="D403" s="8">
        <f t="shared" si="72"/>
        <v>0.26711534745926452</v>
      </c>
      <c r="E403" s="12">
        <v>17540782</v>
      </c>
      <c r="F403" s="10">
        <f>E403/(E403+I403)</f>
        <v>0.27162952672724677</v>
      </c>
      <c r="G403" s="11">
        <v>45518</v>
      </c>
      <c r="H403" s="10">
        <f t="shared" si="73"/>
        <v>0.73288465254073554</v>
      </c>
      <c r="I403" s="12">
        <v>47035342</v>
      </c>
      <c r="J403" s="10">
        <f>I403/(E403+I403)</f>
        <v>0.72837047327275328</v>
      </c>
    </row>
    <row r="404" spans="1:13">
      <c r="A404" s="3" t="s">
        <v>12</v>
      </c>
      <c r="B404" s="6">
        <f>C404+G404</f>
        <v>11130</v>
      </c>
      <c r="C404" s="7">
        <v>5090</v>
      </c>
      <c r="D404" s="8">
        <f t="shared" si="72"/>
        <v>0.45732255166217428</v>
      </c>
      <c r="E404" s="12">
        <v>111835893</v>
      </c>
      <c r="F404" s="10">
        <f>E404/(E404+I404)</f>
        <v>0.618230465013062</v>
      </c>
      <c r="G404" s="11">
        <v>6040</v>
      </c>
      <c r="H404" s="10">
        <f t="shared" si="73"/>
        <v>0.54267744833782572</v>
      </c>
      <c r="I404" s="12">
        <v>69060875</v>
      </c>
      <c r="J404" s="10">
        <f>I404/(E404+I404)</f>
        <v>0.38176953498693794</v>
      </c>
    </row>
    <row r="405" spans="1:13">
      <c r="A405" s="3" t="s">
        <v>13</v>
      </c>
      <c r="B405" s="6">
        <f>C405+G405</f>
        <v>409</v>
      </c>
      <c r="C405" s="7">
        <v>354</v>
      </c>
      <c r="D405" s="8">
        <f t="shared" si="72"/>
        <v>0.86552567237163813</v>
      </c>
      <c r="E405" s="12">
        <v>228350416</v>
      </c>
      <c r="F405" s="10">
        <f>E405/(E405+I405)</f>
        <v>0.97613642538192713</v>
      </c>
      <c r="G405" s="11">
        <v>55</v>
      </c>
      <c r="H405" s="10">
        <f t="shared" si="73"/>
        <v>0.13447432762836187</v>
      </c>
      <c r="I405" s="12">
        <v>5582475</v>
      </c>
      <c r="J405" s="10">
        <f>I405/(E405+I405)</f>
        <v>2.3863574618072838E-2</v>
      </c>
    </row>
    <row r="406" spans="1:13">
      <c r="A406" s="3" t="s">
        <v>14</v>
      </c>
      <c r="B406" s="6">
        <f>C406+G406</f>
        <v>5630</v>
      </c>
      <c r="C406" s="7">
        <v>1471</v>
      </c>
      <c r="D406" s="8">
        <f t="shared" si="72"/>
        <v>0.26127886323268207</v>
      </c>
      <c r="E406" s="12">
        <v>1253483</v>
      </c>
      <c r="F406" s="10">
        <f>E406/(E406+I405)</f>
        <v>0.18336610611124293</v>
      </c>
      <c r="G406" s="11">
        <v>4159</v>
      </c>
      <c r="H406" s="10">
        <f t="shared" si="73"/>
        <v>0.73872113676731799</v>
      </c>
      <c r="I406" s="13">
        <v>1034625</v>
      </c>
      <c r="J406" s="10">
        <f>I405/(E406+I405)</f>
        <v>0.81663389388875707</v>
      </c>
      <c r="M406" s="14"/>
    </row>
    <row r="407" spans="1:13" ht="15.75">
      <c r="B407" s="15">
        <f>SUM(B402:B406)</f>
        <v>654294</v>
      </c>
      <c r="C407" s="16">
        <f>SUM(C402:C406)</f>
        <v>77762</v>
      </c>
      <c r="D407" s="17">
        <f t="shared" si="72"/>
        <v>0.11884871326956994</v>
      </c>
      <c r="E407" s="18">
        <f>SUM(E402:E406)</f>
        <v>397101155</v>
      </c>
      <c r="F407" s="10">
        <f>E407/(E407+I407)</f>
        <v>0.43449636679648118</v>
      </c>
      <c r="G407" s="18">
        <f>SUM(G402:G406)</f>
        <v>576532</v>
      </c>
      <c r="H407" s="17">
        <f t="shared" si="73"/>
        <v>0.88115128673043008</v>
      </c>
      <c r="I407" s="18">
        <f>SUM(I402:I406)</f>
        <v>516833196</v>
      </c>
      <c r="J407" s="10">
        <f>I407/(E407+I407)</f>
        <v>0.56550363320351882</v>
      </c>
    </row>
    <row r="408" spans="1:13" ht="15.75">
      <c r="A408" s="1" t="s">
        <v>0</v>
      </c>
      <c r="B408" s="3"/>
      <c r="J408" s="3"/>
    </row>
    <row r="409" spans="1:13" ht="15.75">
      <c r="A409" s="1" t="s">
        <v>52</v>
      </c>
      <c r="B409" s="2">
        <v>2</v>
      </c>
      <c r="C409" s="2" t="s">
        <v>2</v>
      </c>
      <c r="D409" s="2"/>
      <c r="E409" s="2"/>
      <c r="F409" s="2"/>
      <c r="G409" s="2" t="s">
        <v>3</v>
      </c>
      <c r="H409" s="2"/>
      <c r="I409" s="2"/>
      <c r="J409" s="2"/>
    </row>
    <row r="410" spans="1:13">
      <c r="B410" s="4" t="s">
        <v>4</v>
      </c>
      <c r="C410" s="4" t="s">
        <v>5</v>
      </c>
      <c r="D410" s="4"/>
      <c r="E410" s="4" t="s">
        <v>6</v>
      </c>
      <c r="F410" s="5"/>
      <c r="G410" s="4" t="s">
        <v>7</v>
      </c>
      <c r="H410" s="5"/>
      <c r="I410" s="5" t="s">
        <v>6</v>
      </c>
      <c r="J410" s="5"/>
    </row>
    <row r="411" spans="1:13">
      <c r="B411" s="4" t="s">
        <v>8</v>
      </c>
      <c r="C411" s="4" t="s">
        <v>8</v>
      </c>
      <c r="D411" s="4" t="s">
        <v>9</v>
      </c>
      <c r="E411" s="4" t="s">
        <v>8</v>
      </c>
      <c r="F411" s="5" t="s">
        <v>9</v>
      </c>
      <c r="G411" s="5" t="s">
        <v>8</v>
      </c>
      <c r="H411" s="5" t="s">
        <v>9</v>
      </c>
      <c r="I411" s="5" t="s">
        <v>8</v>
      </c>
      <c r="J411" s="5" t="s">
        <v>9</v>
      </c>
    </row>
    <row r="412" spans="1:13">
      <c r="B412" s="4"/>
      <c r="C412" s="4"/>
      <c r="D412" s="4"/>
      <c r="E412" s="4"/>
      <c r="F412" s="4"/>
      <c r="G412" s="4"/>
      <c r="H412" s="4"/>
      <c r="I412" s="4"/>
      <c r="J412" s="4"/>
    </row>
    <row r="413" spans="1:13">
      <c r="A413" s="3" t="s">
        <v>10</v>
      </c>
      <c r="B413" s="6">
        <f>C413+G413</f>
        <v>575014</v>
      </c>
      <c r="C413" s="7">
        <v>55467</v>
      </c>
      <c r="D413" s="8">
        <f t="shared" ref="D413:D418" si="74">C413/B413</f>
        <v>9.6461999186106775E-2</v>
      </c>
      <c r="E413" s="12">
        <v>36124534</v>
      </c>
      <c r="F413" s="10">
        <f>E413/(E413+I413)</f>
        <v>9.1892920129611769E-2</v>
      </c>
      <c r="G413" s="11">
        <v>519547</v>
      </c>
      <c r="H413" s="10">
        <f t="shared" ref="H413:H418" si="75">G413/B413</f>
        <v>0.90353800081389324</v>
      </c>
      <c r="I413" s="12">
        <v>356990996</v>
      </c>
      <c r="J413" s="10">
        <f>I413/(E413+I413)</f>
        <v>0.90810707987038819</v>
      </c>
    </row>
    <row r="414" spans="1:13">
      <c r="A414" s="3" t="s">
        <v>11</v>
      </c>
      <c r="B414" s="6">
        <f>C414+G414</f>
        <v>61895</v>
      </c>
      <c r="C414" s="7">
        <v>16455</v>
      </c>
      <c r="D414" s="8">
        <f t="shared" si="74"/>
        <v>0.26585346150739153</v>
      </c>
      <c r="E414" s="12">
        <v>16710173</v>
      </c>
      <c r="F414" s="10">
        <f>E414/(E414+I414)</f>
        <v>0.27941488420153771</v>
      </c>
      <c r="G414" s="11">
        <v>45440</v>
      </c>
      <c r="H414" s="10">
        <f t="shared" si="75"/>
        <v>0.73414653849260847</v>
      </c>
      <c r="I414" s="12">
        <v>43093989</v>
      </c>
      <c r="J414" s="10">
        <f>I414/(E414+I414)</f>
        <v>0.72058511579846229</v>
      </c>
    </row>
    <row r="415" spans="1:13">
      <c r="A415" s="3" t="s">
        <v>12</v>
      </c>
      <c r="B415" s="6">
        <f>C415+G415</f>
        <v>11136</v>
      </c>
      <c r="C415" s="7">
        <v>5166</v>
      </c>
      <c r="D415" s="8">
        <f t="shared" si="74"/>
        <v>0.46390086206896552</v>
      </c>
      <c r="E415" s="12">
        <v>109042369</v>
      </c>
      <c r="F415" s="10">
        <f>E415/(E415+I415)</f>
        <v>0.62462160418716051</v>
      </c>
      <c r="G415" s="11">
        <v>5970</v>
      </c>
      <c r="H415" s="10">
        <f t="shared" si="75"/>
        <v>0.53609913793103448</v>
      </c>
      <c r="I415" s="12">
        <v>65531114</v>
      </c>
      <c r="J415" s="10">
        <f>I415/(E415+I415)</f>
        <v>0.37537839581283944</v>
      </c>
    </row>
    <row r="416" spans="1:13">
      <c r="A416" s="3" t="s">
        <v>13</v>
      </c>
      <c r="B416" s="6">
        <f>C416+G416</f>
        <v>404</v>
      </c>
      <c r="C416" s="7">
        <v>355</v>
      </c>
      <c r="D416" s="8">
        <f t="shared" si="74"/>
        <v>0.87871287128712872</v>
      </c>
      <c r="E416" s="12">
        <v>211926337</v>
      </c>
      <c r="F416" s="10">
        <f>E416/(E416+I416)</f>
        <v>0.97157958864563121</v>
      </c>
      <c r="G416" s="11">
        <v>49</v>
      </c>
      <c r="H416" s="10">
        <f t="shared" si="75"/>
        <v>0.12128712871287128</v>
      </c>
      <c r="I416" s="12">
        <v>6199218</v>
      </c>
      <c r="J416" s="10">
        <f>I416/(E416+I416)</f>
        <v>2.8420411354368819E-2</v>
      </c>
    </row>
    <row r="417" spans="1:13">
      <c r="A417" s="3" t="s">
        <v>14</v>
      </c>
      <c r="B417" s="6">
        <f>C417+G417</f>
        <v>5645</v>
      </c>
      <c r="C417" s="7">
        <v>1473</v>
      </c>
      <c r="D417" s="8">
        <f t="shared" si="74"/>
        <v>0.26093888396811338</v>
      </c>
      <c r="E417" s="12">
        <v>2322379</v>
      </c>
      <c r="F417" s="10">
        <f>E417/(E417+I416)</f>
        <v>0.27252861171444742</v>
      </c>
      <c r="G417" s="11">
        <v>4172</v>
      </c>
      <c r="H417" s="10">
        <f t="shared" si="75"/>
        <v>0.73906111603188662</v>
      </c>
      <c r="I417" s="13">
        <v>1336910</v>
      </c>
      <c r="J417" s="10">
        <f>I416/(E417+I416)</f>
        <v>0.72747138828555258</v>
      </c>
      <c r="M417" s="14"/>
    </row>
    <row r="418" spans="1:13" ht="15.75">
      <c r="B418" s="15">
        <f>SUM(B413:B417)</f>
        <v>654094</v>
      </c>
      <c r="C418" s="16">
        <f>SUM(C413:C417)</f>
        <v>78916</v>
      </c>
      <c r="D418" s="17">
        <f t="shared" si="74"/>
        <v>0.1206493256320957</v>
      </c>
      <c r="E418" s="18">
        <f>SUM(E413:E417)</f>
        <v>376125792</v>
      </c>
      <c r="F418" s="10">
        <f>E418/(E418+I418)</f>
        <v>0.44287710689001125</v>
      </c>
      <c r="G418" s="18">
        <f>SUM(G413:G417)</f>
        <v>575178</v>
      </c>
      <c r="H418" s="17">
        <f t="shared" si="75"/>
        <v>0.87935067436790426</v>
      </c>
      <c r="I418" s="18">
        <f>SUM(I413:I417)</f>
        <v>473152227</v>
      </c>
      <c r="J418" s="10">
        <f>I418/(E418+I418)</f>
        <v>0.55712289310998875</v>
      </c>
    </row>
    <row r="419" spans="1:13" ht="15.75">
      <c r="A419" s="1" t="s">
        <v>0</v>
      </c>
      <c r="B419" s="3"/>
      <c r="J419" s="3"/>
    </row>
    <row r="420" spans="1:13" ht="15.75">
      <c r="A420" s="1" t="s">
        <v>53</v>
      </c>
      <c r="B420" s="2">
        <v>2</v>
      </c>
      <c r="C420" s="2" t="s">
        <v>2</v>
      </c>
      <c r="D420" s="2"/>
      <c r="E420" s="2"/>
      <c r="F420" s="2"/>
      <c r="G420" s="2" t="s">
        <v>3</v>
      </c>
      <c r="H420" s="2"/>
      <c r="I420" s="2"/>
      <c r="J420" s="2"/>
    </row>
    <row r="421" spans="1:13">
      <c r="B421" s="4" t="s">
        <v>4</v>
      </c>
      <c r="C421" s="4" t="s">
        <v>5</v>
      </c>
      <c r="D421" s="4"/>
      <c r="E421" s="4" t="s">
        <v>6</v>
      </c>
      <c r="F421" s="5"/>
      <c r="G421" s="4" t="s">
        <v>7</v>
      </c>
      <c r="H421" s="5"/>
      <c r="I421" s="5" t="s">
        <v>6</v>
      </c>
      <c r="J421" s="5"/>
    </row>
    <row r="422" spans="1:13">
      <c r="B422" s="4" t="s">
        <v>8</v>
      </c>
      <c r="C422" s="4" t="s">
        <v>8</v>
      </c>
      <c r="D422" s="4" t="s">
        <v>9</v>
      </c>
      <c r="E422" s="4" t="s">
        <v>8</v>
      </c>
      <c r="F422" s="5" t="s">
        <v>9</v>
      </c>
      <c r="G422" s="5" t="s">
        <v>8</v>
      </c>
      <c r="H422" s="5" t="s">
        <v>9</v>
      </c>
      <c r="I422" s="5" t="s">
        <v>8</v>
      </c>
      <c r="J422" s="5" t="s">
        <v>9</v>
      </c>
    </row>
    <row r="423" spans="1:13">
      <c r="B423" s="4"/>
      <c r="C423" s="4"/>
      <c r="D423" s="4"/>
      <c r="E423" s="4"/>
      <c r="F423" s="4"/>
      <c r="G423" s="4"/>
      <c r="H423" s="4"/>
      <c r="I423" s="4"/>
      <c r="J423" s="4"/>
    </row>
    <row r="424" spans="1:13">
      <c r="A424" s="3" t="s">
        <v>10</v>
      </c>
      <c r="B424" s="6">
        <f>C424+G424</f>
        <v>546483</v>
      </c>
      <c r="C424" s="7">
        <v>53831</v>
      </c>
      <c r="D424" s="8">
        <f t="shared" ref="D424:D429" si="76">C424/B424</f>
        <v>9.8504436551548724E-2</v>
      </c>
      <c r="E424" s="12">
        <v>27315693</v>
      </c>
      <c r="F424" s="10">
        <f>E424/(E424+I424)</f>
        <v>9.6675573983784027E-2</v>
      </c>
      <c r="G424" s="11">
        <v>492652</v>
      </c>
      <c r="H424" s="10">
        <f t="shared" ref="H424:H429" si="77">G424/B424</f>
        <v>0.90149556344845128</v>
      </c>
      <c r="I424" s="12">
        <v>255234406</v>
      </c>
      <c r="J424" s="10">
        <f>I424/(E424+I424)</f>
        <v>0.90332442601621599</v>
      </c>
    </row>
    <row r="425" spans="1:13">
      <c r="A425" s="3" t="s">
        <v>11</v>
      </c>
      <c r="B425" s="6">
        <f>C425+G425</f>
        <v>58590</v>
      </c>
      <c r="C425" s="7">
        <v>15877</v>
      </c>
      <c r="D425" s="8">
        <f t="shared" si="76"/>
        <v>0.27098480969448713</v>
      </c>
      <c r="E425" s="12">
        <v>13475322</v>
      </c>
      <c r="F425" s="10">
        <f>E425/(E425+I425)</f>
        <v>0.28679712307325089</v>
      </c>
      <c r="G425" s="11">
        <v>42713</v>
      </c>
      <c r="H425" s="10">
        <f t="shared" si="77"/>
        <v>0.72901519030551287</v>
      </c>
      <c r="I425" s="12">
        <v>33510233</v>
      </c>
      <c r="J425" s="10">
        <f>I425/(E425+I425)</f>
        <v>0.71320287692674911</v>
      </c>
    </row>
    <row r="426" spans="1:13">
      <c r="A426" s="3" t="s">
        <v>12</v>
      </c>
      <c r="B426" s="6">
        <f>C426+G426</f>
        <v>10576</v>
      </c>
      <c r="C426" s="7">
        <v>4940</v>
      </c>
      <c r="D426" s="8">
        <f t="shared" si="76"/>
        <v>0.46709531013615735</v>
      </c>
      <c r="E426" s="12">
        <v>94198751</v>
      </c>
      <c r="F426" s="10">
        <f>E426/(E426+I426)</f>
        <v>0.62984529544091006</v>
      </c>
      <c r="G426" s="11">
        <v>5636</v>
      </c>
      <c r="H426" s="10">
        <f t="shared" si="77"/>
        <v>0.53290468986384265</v>
      </c>
      <c r="I426" s="12">
        <v>55359802</v>
      </c>
      <c r="J426" s="10">
        <f>I426/(E426+I426)</f>
        <v>0.37015470455909</v>
      </c>
    </row>
    <row r="427" spans="1:13">
      <c r="A427" s="3" t="s">
        <v>13</v>
      </c>
      <c r="B427" s="6">
        <f>C427+G427</f>
        <v>374</v>
      </c>
      <c r="C427" s="7">
        <v>324</v>
      </c>
      <c r="D427" s="8">
        <f t="shared" si="76"/>
        <v>0.86631016042780751</v>
      </c>
      <c r="E427" s="12">
        <v>189344615</v>
      </c>
      <c r="F427" s="10">
        <f>E427/(E427+I427)</f>
        <v>0.96716844036407457</v>
      </c>
      <c r="G427" s="11">
        <v>50</v>
      </c>
      <c r="H427" s="10">
        <f t="shared" si="77"/>
        <v>0.13368983957219252</v>
      </c>
      <c r="I427" s="12">
        <v>6427504</v>
      </c>
      <c r="J427" s="10">
        <f>I427/(E427+I427)</f>
        <v>3.2831559635925482E-2</v>
      </c>
    </row>
    <row r="428" spans="1:13">
      <c r="A428" s="3" t="s">
        <v>14</v>
      </c>
      <c r="B428" s="6">
        <f>C428+G428</f>
        <v>5062</v>
      </c>
      <c r="C428" s="7">
        <v>1280</v>
      </c>
      <c r="D428" s="8">
        <f t="shared" si="76"/>
        <v>0.25286448044251286</v>
      </c>
      <c r="E428" s="12">
        <v>360246</v>
      </c>
      <c r="F428" s="10">
        <f>E428/(E428+I427)</f>
        <v>5.3072962321829766E-2</v>
      </c>
      <c r="G428" s="11">
        <v>3782</v>
      </c>
      <c r="H428" s="10">
        <f t="shared" si="77"/>
        <v>0.74713551955748714</v>
      </c>
      <c r="I428" s="13">
        <v>570080</v>
      </c>
      <c r="J428" s="10">
        <f>I427/(E428+I427)</f>
        <v>0.94692703767817021</v>
      </c>
      <c r="M428" s="14"/>
    </row>
    <row r="429" spans="1:13" ht="15.75">
      <c r="B429" s="15">
        <f>SUM(B424:B428)</f>
        <v>621085</v>
      </c>
      <c r="C429" s="16">
        <f>SUM(C424:C428)</f>
        <v>76252</v>
      </c>
      <c r="D429" s="17">
        <f t="shared" si="76"/>
        <v>0.12277224534484008</v>
      </c>
      <c r="E429" s="18">
        <f>SUM(E424:E428)</f>
        <v>324694627</v>
      </c>
      <c r="F429" s="10">
        <f>E429/(E429+I429)</f>
        <v>0.48046202365619295</v>
      </c>
      <c r="G429" s="18">
        <f>SUM(G424:G428)</f>
        <v>544833</v>
      </c>
      <c r="H429" s="17">
        <f t="shared" si="77"/>
        <v>0.8772277546551599</v>
      </c>
      <c r="I429" s="18">
        <f>SUM(I424:I428)</f>
        <v>351102025</v>
      </c>
      <c r="J429" s="10">
        <f>I429/(E429+I429)</f>
        <v>0.51953797634380705</v>
      </c>
    </row>
    <row r="430" spans="1:13" ht="15.75">
      <c r="A430" s="1" t="s">
        <v>0</v>
      </c>
      <c r="B430" s="3"/>
      <c r="J430" s="3"/>
    </row>
    <row r="431" spans="1:13" ht="15.75">
      <c r="A431" s="1" t="s">
        <v>54</v>
      </c>
      <c r="B431" s="2">
        <v>2</v>
      </c>
      <c r="C431" s="2" t="s">
        <v>2</v>
      </c>
      <c r="D431" s="2"/>
      <c r="E431" s="2"/>
      <c r="F431" s="2"/>
      <c r="G431" s="2" t="s">
        <v>3</v>
      </c>
      <c r="H431" s="2"/>
      <c r="I431" s="2"/>
      <c r="J431" s="2"/>
    </row>
    <row r="432" spans="1:13">
      <c r="B432" s="4" t="s">
        <v>4</v>
      </c>
      <c r="C432" s="4" t="s">
        <v>5</v>
      </c>
      <c r="D432" s="4"/>
      <c r="E432" s="4" t="s">
        <v>6</v>
      </c>
      <c r="F432" s="5"/>
      <c r="G432" s="4" t="s">
        <v>7</v>
      </c>
      <c r="H432" s="5"/>
      <c r="I432" s="5" t="s">
        <v>6</v>
      </c>
      <c r="J432" s="5"/>
    </row>
    <row r="433" spans="1:13">
      <c r="B433" s="4" t="s">
        <v>8</v>
      </c>
      <c r="C433" s="4" t="s">
        <v>8</v>
      </c>
      <c r="D433" s="4" t="s">
        <v>9</v>
      </c>
      <c r="E433" s="4" t="s">
        <v>8</v>
      </c>
      <c r="F433" s="5" t="s">
        <v>9</v>
      </c>
      <c r="G433" s="5" t="s">
        <v>8</v>
      </c>
      <c r="H433" s="5" t="s">
        <v>9</v>
      </c>
      <c r="I433" s="5" t="s">
        <v>8</v>
      </c>
      <c r="J433" s="5" t="s">
        <v>9</v>
      </c>
    </row>
    <row r="434" spans="1:13">
      <c r="B434" s="4"/>
      <c r="C434" s="4"/>
      <c r="D434" s="4"/>
      <c r="E434" s="4"/>
      <c r="F434" s="4"/>
      <c r="G434" s="4"/>
      <c r="H434" s="4"/>
      <c r="I434" s="4"/>
      <c r="J434" s="4"/>
    </row>
    <row r="435" spans="1:13">
      <c r="A435" s="3" t="s">
        <v>10</v>
      </c>
      <c r="B435" s="6">
        <f>C435+G435</f>
        <v>549583</v>
      </c>
      <c r="C435" s="7">
        <v>55303</v>
      </c>
      <c r="D435" s="8">
        <f t="shared" ref="D435:D440" si="78">C435/B435</f>
        <v>0.10062720280649147</v>
      </c>
      <c r="E435" s="12">
        <v>27947357</v>
      </c>
      <c r="F435" s="10">
        <f>E435/(E435+I435)</f>
        <v>0.10082898026930104</v>
      </c>
      <c r="G435" s="11">
        <v>494280</v>
      </c>
      <c r="H435" s="10">
        <f t="shared" ref="H435:H440" si="79">G435/B435</f>
        <v>0.89937279719350849</v>
      </c>
      <c r="I435" s="12">
        <v>249228480</v>
      </c>
      <c r="J435" s="10">
        <f>I435/(E435+I435)</f>
        <v>0.89917101973069902</v>
      </c>
    </row>
    <row r="436" spans="1:13">
      <c r="A436" s="3" t="s">
        <v>11</v>
      </c>
      <c r="B436" s="6">
        <f>C436+G436</f>
        <v>58776</v>
      </c>
      <c r="C436" s="7">
        <v>16044</v>
      </c>
      <c r="D436" s="8">
        <f t="shared" si="78"/>
        <v>0.27296855859534502</v>
      </c>
      <c r="E436" s="12">
        <v>14121017</v>
      </c>
      <c r="F436" s="10">
        <f>E436/(E436+I436)</f>
        <v>0.29043058992858434</v>
      </c>
      <c r="G436" s="11">
        <v>42732</v>
      </c>
      <c r="H436" s="10">
        <f t="shared" si="79"/>
        <v>0.72703144140465492</v>
      </c>
      <c r="I436" s="12">
        <v>34499953</v>
      </c>
      <c r="J436" s="10">
        <f>I436/(E436+I436)</f>
        <v>0.70956941007141572</v>
      </c>
    </row>
    <row r="437" spans="1:13">
      <c r="A437" s="3" t="s">
        <v>12</v>
      </c>
      <c r="B437" s="6">
        <f>C437+G437</f>
        <v>10505</v>
      </c>
      <c r="C437" s="7">
        <v>4961</v>
      </c>
      <c r="D437" s="8">
        <f t="shared" si="78"/>
        <v>0.47225130890052358</v>
      </c>
      <c r="E437" s="12">
        <v>99110879</v>
      </c>
      <c r="F437" s="10">
        <f>E437/(E437+I437)</f>
        <v>0.62597613847618871</v>
      </c>
      <c r="G437" s="11">
        <v>5544</v>
      </c>
      <c r="H437" s="10">
        <f t="shared" si="79"/>
        <v>0.52774869109947642</v>
      </c>
      <c r="I437" s="12">
        <v>59219244</v>
      </c>
      <c r="J437" s="10">
        <f>I437/(E437+I437)</f>
        <v>0.37402386152381123</v>
      </c>
    </row>
    <row r="438" spans="1:13">
      <c r="A438" s="3" t="s">
        <v>13</v>
      </c>
      <c r="B438" s="6">
        <f>C438+G438</f>
        <v>366</v>
      </c>
      <c r="C438" s="7">
        <v>323</v>
      </c>
      <c r="D438" s="8">
        <f t="shared" si="78"/>
        <v>0.88251366120218577</v>
      </c>
      <c r="E438" s="12">
        <v>198516573</v>
      </c>
      <c r="F438" s="10">
        <f>E438/(E438+I438)</f>
        <v>0.97401296210290655</v>
      </c>
      <c r="G438" s="11">
        <v>43</v>
      </c>
      <c r="H438" s="10">
        <f t="shared" si="79"/>
        <v>0.11748633879781421</v>
      </c>
      <c r="I438" s="12">
        <v>5296498</v>
      </c>
      <c r="J438" s="10">
        <f>I438/(E438+I438)</f>
        <v>2.598703789709346E-2</v>
      </c>
    </row>
    <row r="439" spans="1:13">
      <c r="A439" s="3" t="s">
        <v>14</v>
      </c>
      <c r="B439" s="6">
        <f>C439+G439</f>
        <v>5457</v>
      </c>
      <c r="C439" s="7">
        <v>1426</v>
      </c>
      <c r="D439" s="8">
        <f t="shared" si="78"/>
        <v>0.26131574124977092</v>
      </c>
      <c r="E439" s="12">
        <v>1193665</v>
      </c>
      <c r="F439" s="10">
        <f>E439/(E439+I438)</f>
        <v>0.18391910958168539</v>
      </c>
      <c r="G439" s="11">
        <v>4031</v>
      </c>
      <c r="H439" s="10">
        <f t="shared" si="79"/>
        <v>0.73868425875022903</v>
      </c>
      <c r="I439" s="13">
        <v>767226</v>
      </c>
      <c r="J439" s="10">
        <f>I438/(E439+I438)</f>
        <v>0.81608089041831466</v>
      </c>
      <c r="M439" s="14"/>
    </row>
    <row r="440" spans="1:13" ht="15.75">
      <c r="B440" s="15">
        <f>SUM(B435:B439)</f>
        <v>624687</v>
      </c>
      <c r="C440" s="16">
        <f>SUM(C435:C439)</f>
        <v>78057</v>
      </c>
      <c r="D440" s="17">
        <f t="shared" si="78"/>
        <v>0.12495377685144721</v>
      </c>
      <c r="E440" s="18">
        <f>SUM(E435:E439)</f>
        <v>340889491</v>
      </c>
      <c r="F440" s="10">
        <f>E440/(E440+I440)</f>
        <v>0.49411371249538838</v>
      </c>
      <c r="G440" s="18">
        <f>SUM(G435:G439)</f>
        <v>546630</v>
      </c>
      <c r="H440" s="17">
        <f t="shared" si="79"/>
        <v>0.87504622314855285</v>
      </c>
      <c r="I440" s="18">
        <f>SUM(I435:I439)</f>
        <v>349011401</v>
      </c>
      <c r="J440" s="10">
        <f>I440/(E440+I440)</f>
        <v>0.50588628750461162</v>
      </c>
    </row>
    <row r="441" spans="1:13" ht="15.75">
      <c r="A441" s="1" t="s">
        <v>0</v>
      </c>
      <c r="B441" s="3"/>
      <c r="J441" s="3"/>
    </row>
    <row r="442" spans="1:13" ht="15.75">
      <c r="A442" s="1" t="s">
        <v>55</v>
      </c>
      <c r="B442" s="2">
        <v>2</v>
      </c>
      <c r="C442" s="2" t="s">
        <v>2</v>
      </c>
      <c r="D442" s="2"/>
      <c r="E442" s="2"/>
      <c r="F442" s="2"/>
      <c r="G442" s="2" t="s">
        <v>3</v>
      </c>
      <c r="H442" s="2"/>
      <c r="I442" s="2"/>
      <c r="J442" s="2"/>
    </row>
    <row r="443" spans="1:13">
      <c r="B443" s="4" t="s">
        <v>4</v>
      </c>
      <c r="C443" s="4" t="s">
        <v>5</v>
      </c>
      <c r="D443" s="4"/>
      <c r="E443" s="4" t="s">
        <v>6</v>
      </c>
      <c r="F443" s="5"/>
      <c r="G443" s="4" t="s">
        <v>7</v>
      </c>
      <c r="H443" s="5"/>
      <c r="I443" s="5" t="s">
        <v>6</v>
      </c>
      <c r="J443" s="5"/>
    </row>
    <row r="444" spans="1:13">
      <c r="B444" s="4" t="s">
        <v>8</v>
      </c>
      <c r="C444" s="4" t="s">
        <v>8</v>
      </c>
      <c r="D444" s="4" t="s">
        <v>9</v>
      </c>
      <c r="E444" s="4" t="s">
        <v>8</v>
      </c>
      <c r="F444" s="5" t="s">
        <v>9</v>
      </c>
      <c r="G444" s="5" t="s">
        <v>8</v>
      </c>
      <c r="H444" s="5" t="s">
        <v>9</v>
      </c>
      <c r="I444" s="5" t="s">
        <v>8</v>
      </c>
      <c r="J444" s="5" t="s">
        <v>9</v>
      </c>
    </row>
    <row r="445" spans="1:13">
      <c r="B445" s="4"/>
      <c r="C445" s="4"/>
      <c r="D445" s="4"/>
      <c r="E445" s="4"/>
      <c r="F445" s="4"/>
      <c r="G445" s="4"/>
      <c r="H445" s="4"/>
      <c r="I445" s="4"/>
      <c r="J445" s="4"/>
    </row>
    <row r="446" spans="1:13">
      <c r="A446" s="3" t="s">
        <v>10</v>
      </c>
      <c r="B446" s="6">
        <f>C446+G446</f>
        <v>571353</v>
      </c>
      <c r="C446" s="7">
        <v>58061</v>
      </c>
      <c r="D446" s="8">
        <f t="shared" ref="D446:D451" si="80">C446/B446</f>
        <v>0.10162018927003096</v>
      </c>
      <c r="E446" s="12">
        <v>36831155</v>
      </c>
      <c r="F446" s="10">
        <f>E446/(E446+I446)</f>
        <v>0.10257025507258406</v>
      </c>
      <c r="G446" s="11">
        <v>513292</v>
      </c>
      <c r="H446" s="10">
        <f t="shared" ref="H446:H451" si="81">G446/B446</f>
        <v>0.89837981072996909</v>
      </c>
      <c r="I446" s="12">
        <v>322251066</v>
      </c>
      <c r="J446" s="10">
        <f>I446/(E446+I446)</f>
        <v>0.8974297449274159</v>
      </c>
    </row>
    <row r="447" spans="1:13">
      <c r="A447" s="3" t="s">
        <v>11</v>
      </c>
      <c r="B447" s="6">
        <f>C447+G447</f>
        <v>61106</v>
      </c>
      <c r="C447" s="7">
        <v>16756</v>
      </c>
      <c r="D447" s="8">
        <f t="shared" si="80"/>
        <v>0.27421202500572778</v>
      </c>
      <c r="E447" s="12">
        <v>16774781</v>
      </c>
      <c r="F447" s="10">
        <f>E447/(E447+I447)</f>
        <v>0.27579706680605715</v>
      </c>
      <c r="G447" s="11">
        <v>44350</v>
      </c>
      <c r="H447" s="10">
        <f t="shared" si="81"/>
        <v>0.72578797499427228</v>
      </c>
      <c r="I447" s="12">
        <v>44048132</v>
      </c>
      <c r="J447" s="10">
        <f>I447/(E447+I447)</f>
        <v>0.72420293319394291</v>
      </c>
    </row>
    <row r="448" spans="1:13">
      <c r="A448" s="3" t="s">
        <v>12</v>
      </c>
      <c r="B448" s="6">
        <f>C448+G448</f>
        <v>11118</v>
      </c>
      <c r="C448" s="7">
        <v>5276</v>
      </c>
      <c r="D448" s="8">
        <f t="shared" si="80"/>
        <v>0.47454578161539845</v>
      </c>
      <c r="E448" s="12">
        <v>123119057</v>
      </c>
      <c r="F448" s="10">
        <f>E448/(E448+I448)</f>
        <v>0.62192963208347385</v>
      </c>
      <c r="G448" s="11">
        <v>5842</v>
      </c>
      <c r="H448" s="10">
        <f t="shared" si="81"/>
        <v>0.5254542183846016</v>
      </c>
      <c r="I448" s="12">
        <v>74843945</v>
      </c>
      <c r="J448" s="10">
        <f>I448/(E448+I448)</f>
        <v>0.37807036791652615</v>
      </c>
    </row>
    <row r="449" spans="1:13">
      <c r="A449" s="3" t="s">
        <v>13</v>
      </c>
      <c r="B449" s="6">
        <f>C449+G449</f>
        <v>371</v>
      </c>
      <c r="C449" s="7">
        <v>331</v>
      </c>
      <c r="D449" s="8">
        <f t="shared" si="80"/>
        <v>0.89218328840970351</v>
      </c>
      <c r="E449" s="12">
        <v>191126047</v>
      </c>
      <c r="F449" s="10">
        <f>E449/(E449+I449)</f>
        <v>0.96672005596035449</v>
      </c>
      <c r="G449" s="11">
        <v>40</v>
      </c>
      <c r="H449" s="10">
        <f t="shared" si="81"/>
        <v>0.1078167115902965</v>
      </c>
      <c r="I449" s="12">
        <v>6579634</v>
      </c>
      <c r="J449" s="10">
        <f>I449/(E449+I449)</f>
        <v>3.327994403964548E-2</v>
      </c>
    </row>
    <row r="450" spans="1:13">
      <c r="A450" s="3" t="s">
        <v>14</v>
      </c>
      <c r="B450" s="6">
        <f>C450+G450</f>
        <v>5704</v>
      </c>
      <c r="C450" s="7">
        <v>1509</v>
      </c>
      <c r="D450" s="8">
        <f t="shared" si="80"/>
        <v>0.26455119214586253</v>
      </c>
      <c r="E450" s="12">
        <v>1350259</v>
      </c>
      <c r="F450" s="10">
        <f>E450/(E450+I449)</f>
        <v>0.17027455477646419</v>
      </c>
      <c r="G450" s="11">
        <v>4195</v>
      </c>
      <c r="H450" s="10">
        <f t="shared" si="81"/>
        <v>0.73544880785413747</v>
      </c>
      <c r="I450" s="13">
        <v>729219</v>
      </c>
      <c r="J450" s="10">
        <f>I449/(E450+I449)</f>
        <v>0.82972544522353575</v>
      </c>
      <c r="M450" s="14"/>
    </row>
    <row r="451" spans="1:13" ht="15.75">
      <c r="B451" s="15">
        <f>SUM(B446:B450)</f>
        <v>649652</v>
      </c>
      <c r="C451" s="16">
        <f>SUM(C446:C450)</f>
        <v>81933</v>
      </c>
      <c r="D451" s="17">
        <f t="shared" si="80"/>
        <v>0.12611829102350181</v>
      </c>
      <c r="E451" s="18">
        <f>SUM(E446:E450)</f>
        <v>369201299</v>
      </c>
      <c r="F451" s="10">
        <f>E451/(E451+I451)</f>
        <v>0.45153771318196667</v>
      </c>
      <c r="G451" s="18">
        <f>SUM(G446:G450)</f>
        <v>567719</v>
      </c>
      <c r="H451" s="17">
        <f t="shared" si="81"/>
        <v>0.87388170897649819</v>
      </c>
      <c r="I451" s="18">
        <f>SUM(I446:I450)</f>
        <v>448451996</v>
      </c>
      <c r="J451" s="10">
        <f>I451/(E451+I451)</f>
        <v>0.54846228681803333</v>
      </c>
    </row>
    <row r="452" spans="1:13" ht="15.75">
      <c r="A452" s="1" t="s">
        <v>0</v>
      </c>
      <c r="B452" s="3"/>
      <c r="J452" s="3"/>
    </row>
    <row r="453" spans="1:13" ht="15.75">
      <c r="A453" s="1" t="s">
        <v>56</v>
      </c>
      <c r="B453" s="2">
        <v>2</v>
      </c>
      <c r="C453" s="2" t="s">
        <v>2</v>
      </c>
      <c r="D453" s="2"/>
      <c r="E453" s="2"/>
      <c r="F453" s="2"/>
      <c r="G453" s="2" t="s">
        <v>3</v>
      </c>
      <c r="H453" s="2"/>
      <c r="I453" s="2"/>
      <c r="J453" s="2"/>
    </row>
    <row r="454" spans="1:13">
      <c r="B454" s="4" t="s">
        <v>4</v>
      </c>
      <c r="C454" s="4" t="s">
        <v>5</v>
      </c>
      <c r="D454" s="4"/>
      <c r="E454" s="4" t="s">
        <v>6</v>
      </c>
      <c r="F454" s="5"/>
      <c r="G454" s="4" t="s">
        <v>7</v>
      </c>
      <c r="H454" s="5"/>
      <c r="I454" s="5" t="s">
        <v>6</v>
      </c>
      <c r="J454" s="5"/>
    </row>
    <row r="455" spans="1:13">
      <c r="B455" s="4" t="s">
        <v>8</v>
      </c>
      <c r="C455" s="4" t="s">
        <v>8</v>
      </c>
      <c r="D455" s="4" t="s">
        <v>9</v>
      </c>
      <c r="E455" s="4" t="s">
        <v>8</v>
      </c>
      <c r="F455" s="5" t="s">
        <v>9</v>
      </c>
      <c r="G455" s="5" t="s">
        <v>8</v>
      </c>
      <c r="H455" s="5" t="s">
        <v>9</v>
      </c>
      <c r="I455" s="5" t="s">
        <v>8</v>
      </c>
      <c r="J455" s="5" t="s">
        <v>9</v>
      </c>
    </row>
    <row r="456" spans="1:13">
      <c r="B456" s="4"/>
      <c r="C456" s="4"/>
      <c r="D456" s="4"/>
      <c r="E456" s="4"/>
      <c r="F456" s="4"/>
      <c r="G456" s="4"/>
      <c r="H456" s="4"/>
      <c r="I456" s="4"/>
      <c r="J456" s="4"/>
    </row>
    <row r="457" spans="1:13">
      <c r="A457" s="3" t="s">
        <v>10</v>
      </c>
      <c r="B457" s="6">
        <f>C457+G457</f>
        <v>573282</v>
      </c>
      <c r="C457" s="7">
        <v>58690</v>
      </c>
      <c r="D457" s="8">
        <f t="shared" ref="D457:D462" si="82">C457/B457</f>
        <v>0.10237544524335318</v>
      </c>
      <c r="E457" s="12">
        <v>35789925</v>
      </c>
      <c r="F457" s="10">
        <f>E457/(E457+I457)</f>
        <v>0.10278176840133584</v>
      </c>
      <c r="G457" s="11">
        <v>514592</v>
      </c>
      <c r="H457" s="10">
        <f t="shared" ref="H457:H462" si="83">G457/B457</f>
        <v>0.89762455475664682</v>
      </c>
      <c r="I457" s="12">
        <v>312422852</v>
      </c>
      <c r="J457" s="10">
        <f>I457/(E457+I457)</f>
        <v>0.89721823159866421</v>
      </c>
    </row>
    <row r="458" spans="1:13">
      <c r="A458" s="3" t="s">
        <v>11</v>
      </c>
      <c r="B458" s="6">
        <f>C458+G458</f>
        <v>61118</v>
      </c>
      <c r="C458" s="7">
        <v>16848</v>
      </c>
      <c r="D458" s="8">
        <f t="shared" si="82"/>
        <v>0.27566347066330704</v>
      </c>
      <c r="E458" s="12">
        <v>16831580</v>
      </c>
      <c r="F458" s="10">
        <f>E458/(E458+I458)</f>
        <v>0.28029344685145935</v>
      </c>
      <c r="G458" s="11">
        <v>44270</v>
      </c>
      <c r="H458" s="10">
        <f t="shared" si="83"/>
        <v>0.7243365293366929</v>
      </c>
      <c r="I458" s="12">
        <v>43218272</v>
      </c>
      <c r="J458" s="10">
        <f>I458/(E458+I458)</f>
        <v>0.7197065531485406</v>
      </c>
    </row>
    <row r="459" spans="1:13">
      <c r="A459" s="3" t="s">
        <v>12</v>
      </c>
      <c r="B459" s="6">
        <f>C459+G459</f>
        <v>11213</v>
      </c>
      <c r="C459" s="7">
        <v>5331</v>
      </c>
      <c r="D459" s="8">
        <f t="shared" si="82"/>
        <v>0.47543030411129938</v>
      </c>
      <c r="E459" s="12">
        <v>113079611</v>
      </c>
      <c r="F459" s="10">
        <f>E459/(E459+I459)</f>
        <v>0.61696598795245916</v>
      </c>
      <c r="G459" s="11">
        <v>5882</v>
      </c>
      <c r="H459" s="10">
        <f t="shared" si="83"/>
        <v>0.52456969588870062</v>
      </c>
      <c r="I459" s="12">
        <v>70203768</v>
      </c>
      <c r="J459" s="10">
        <f>I459/(E459+I459)</f>
        <v>0.38303401204754089</v>
      </c>
    </row>
    <row r="460" spans="1:13">
      <c r="A460" s="3" t="s">
        <v>13</v>
      </c>
      <c r="B460" s="6">
        <f>C460+G460</f>
        <v>386</v>
      </c>
      <c r="C460" s="7">
        <v>337</v>
      </c>
      <c r="D460" s="8">
        <f t="shared" si="82"/>
        <v>0.87305699481865284</v>
      </c>
      <c r="E460" s="12">
        <v>234599029</v>
      </c>
      <c r="F460" s="10">
        <f>E460/(E460+I460)</f>
        <v>0.97526921543037426</v>
      </c>
      <c r="G460" s="11">
        <v>49</v>
      </c>
      <c r="H460" s="10">
        <f t="shared" si="83"/>
        <v>0.12694300518134716</v>
      </c>
      <c r="I460" s="12">
        <v>5948940</v>
      </c>
      <c r="J460" s="10">
        <f>I460/(E460+I460)</f>
        <v>2.4730784569625696E-2</v>
      </c>
    </row>
    <row r="461" spans="1:13">
      <c r="A461" s="3" t="s">
        <v>14</v>
      </c>
      <c r="B461" s="6">
        <f>C461+G461</f>
        <v>5757</v>
      </c>
      <c r="C461" s="7">
        <v>1512</v>
      </c>
      <c r="D461" s="8">
        <f t="shared" si="82"/>
        <v>0.26263678999478896</v>
      </c>
      <c r="E461" s="12">
        <v>1130937</v>
      </c>
      <c r="F461" s="10">
        <f>E461/(E461+I460)</f>
        <v>0.15973963954458531</v>
      </c>
      <c r="G461" s="11">
        <v>4245</v>
      </c>
      <c r="H461" s="10">
        <f t="shared" si="83"/>
        <v>0.7373632100052111</v>
      </c>
      <c r="I461" s="13">
        <v>577302</v>
      </c>
      <c r="J461" s="10">
        <f>I460/(E461+I460)</f>
        <v>0.84026036045541475</v>
      </c>
      <c r="M461" s="14"/>
    </row>
    <row r="462" spans="1:13" ht="15.75">
      <c r="B462" s="15">
        <f>SUM(B457:B461)</f>
        <v>651756</v>
      </c>
      <c r="C462" s="16">
        <f>SUM(C457:C461)</f>
        <v>82718</v>
      </c>
      <c r="D462" s="17">
        <f t="shared" si="82"/>
        <v>0.12691559417941684</v>
      </c>
      <c r="E462" s="18">
        <f>SUM(E457:E461)</f>
        <v>401431082</v>
      </c>
      <c r="F462" s="10">
        <f>E462/(E462+I462)</f>
        <v>0.48144640814914791</v>
      </c>
      <c r="G462" s="18">
        <f>SUM(G457:G461)</f>
        <v>569038</v>
      </c>
      <c r="H462" s="17">
        <f t="shared" si="83"/>
        <v>0.87308440582058311</v>
      </c>
      <c r="I462" s="18">
        <f>SUM(I457:I461)</f>
        <v>432371134</v>
      </c>
      <c r="J462" s="10">
        <f>I462/(E462+I462)</f>
        <v>0.51855359185085204</v>
      </c>
    </row>
    <row r="463" spans="1:13" ht="15.75">
      <c r="A463" s="1" t="s">
        <v>0</v>
      </c>
      <c r="B463" s="3"/>
      <c r="J463" s="3"/>
    </row>
    <row r="464" spans="1:13" ht="15.75">
      <c r="A464" s="1" t="s">
        <v>57</v>
      </c>
      <c r="B464" s="2">
        <v>2</v>
      </c>
      <c r="C464" s="2" t="s">
        <v>2</v>
      </c>
      <c r="D464" s="2"/>
      <c r="E464" s="2"/>
      <c r="F464" s="2"/>
      <c r="G464" s="2" t="s">
        <v>3</v>
      </c>
      <c r="H464" s="2"/>
      <c r="I464" s="2"/>
      <c r="J464" s="2"/>
    </row>
    <row r="465" spans="1:13">
      <c r="B465" s="4" t="s">
        <v>4</v>
      </c>
      <c r="C465" s="4" t="s">
        <v>5</v>
      </c>
      <c r="D465" s="4"/>
      <c r="E465" s="4" t="s">
        <v>6</v>
      </c>
      <c r="F465" s="5"/>
      <c r="G465" s="4" t="s">
        <v>7</v>
      </c>
      <c r="H465" s="5"/>
      <c r="I465" s="5" t="s">
        <v>6</v>
      </c>
      <c r="J465" s="5"/>
    </row>
    <row r="466" spans="1:13">
      <c r="B466" s="4" t="s">
        <v>8</v>
      </c>
      <c r="C466" s="4" t="s">
        <v>8</v>
      </c>
      <c r="D466" s="4" t="s">
        <v>9</v>
      </c>
      <c r="E466" s="4" t="s">
        <v>8</v>
      </c>
      <c r="F466" s="5" t="s">
        <v>9</v>
      </c>
      <c r="G466" s="5" t="s">
        <v>8</v>
      </c>
      <c r="H466" s="5" t="s">
        <v>9</v>
      </c>
      <c r="I466" s="5" t="s">
        <v>8</v>
      </c>
      <c r="J466" s="5" t="s">
        <v>9</v>
      </c>
    </row>
    <row r="467" spans="1:13">
      <c r="B467" s="4"/>
      <c r="C467" s="4"/>
      <c r="D467" s="4"/>
      <c r="E467" s="4"/>
      <c r="F467" s="4"/>
      <c r="G467" s="4"/>
      <c r="H467" s="4"/>
      <c r="I467" s="4"/>
      <c r="J467" s="4"/>
    </row>
    <row r="468" spans="1:13">
      <c r="A468" s="3" t="s">
        <v>10</v>
      </c>
      <c r="B468" s="6">
        <f>C468+G468</f>
        <v>567961</v>
      </c>
      <c r="C468" s="7">
        <v>58313</v>
      </c>
      <c r="D468" s="8">
        <f t="shared" ref="D468:D473" si="84">C468/B468</f>
        <v>0.10267078197270588</v>
      </c>
      <c r="E468" s="12">
        <v>38099460</v>
      </c>
      <c r="F468" s="10">
        <f>E468/(E468+I468)</f>
        <v>0.10432595282838746</v>
      </c>
      <c r="G468" s="11">
        <v>509648</v>
      </c>
      <c r="H468" s="10">
        <f t="shared" ref="H468:H473" si="85">G468/B468</f>
        <v>0.89732921802729415</v>
      </c>
      <c r="I468" s="12">
        <v>327096917</v>
      </c>
      <c r="J468" s="10">
        <f>I468/(E468+I468)</f>
        <v>0.89567404717161259</v>
      </c>
    </row>
    <row r="469" spans="1:13">
      <c r="A469" s="3" t="s">
        <v>11</v>
      </c>
      <c r="B469" s="6">
        <f>C469+G469</f>
        <v>60564</v>
      </c>
      <c r="C469" s="7">
        <v>16746</v>
      </c>
      <c r="D469" s="8">
        <f t="shared" si="84"/>
        <v>0.27650089161878344</v>
      </c>
      <c r="E469" s="12">
        <v>16362486</v>
      </c>
      <c r="F469" s="10">
        <f>E469/(E469+I469)</f>
        <v>0.26981209436942694</v>
      </c>
      <c r="G469" s="11">
        <v>43818</v>
      </c>
      <c r="H469" s="10">
        <f t="shared" si="85"/>
        <v>0.72349910838121656</v>
      </c>
      <c r="I469" s="12">
        <v>44281519</v>
      </c>
      <c r="J469" s="10">
        <f>I469/(E469+I469)</f>
        <v>0.73018790563057301</v>
      </c>
    </row>
    <row r="470" spans="1:13">
      <c r="A470" s="3" t="s">
        <v>12</v>
      </c>
      <c r="B470" s="6">
        <f>C470+G470</f>
        <v>11046</v>
      </c>
      <c r="C470" s="7">
        <v>5265</v>
      </c>
      <c r="D470" s="8">
        <f t="shared" si="84"/>
        <v>0.47664312873438347</v>
      </c>
      <c r="E470" s="12">
        <v>121083951</v>
      </c>
      <c r="F470" s="10">
        <f>E470/(E470+I470)</f>
        <v>0.62659293817612116</v>
      </c>
      <c r="G470" s="11">
        <v>5781</v>
      </c>
      <c r="H470" s="10">
        <f t="shared" si="85"/>
        <v>0.52335687126561647</v>
      </c>
      <c r="I470" s="12">
        <v>72157855</v>
      </c>
      <c r="J470" s="10">
        <f>I470/(E470+I470)</f>
        <v>0.37340706182387884</v>
      </c>
    </row>
    <row r="471" spans="1:13">
      <c r="A471" s="3" t="s">
        <v>13</v>
      </c>
      <c r="B471" s="6">
        <f>C471+G471</f>
        <v>365</v>
      </c>
      <c r="C471" s="7">
        <v>324</v>
      </c>
      <c r="D471" s="8">
        <f t="shared" si="84"/>
        <v>0.88767123287671235</v>
      </c>
      <c r="E471" s="12">
        <v>173041582</v>
      </c>
      <c r="F471" s="10">
        <f>E471/(E471+I471)</f>
        <v>0.96936520800029335</v>
      </c>
      <c r="G471" s="11">
        <v>41</v>
      </c>
      <c r="H471" s="10">
        <f t="shared" si="85"/>
        <v>0.11232876712328767</v>
      </c>
      <c r="I471" s="12">
        <v>5468623</v>
      </c>
      <c r="J471" s="10">
        <f>I471/(E471+I471)</f>
        <v>3.0634791999706684E-2</v>
      </c>
    </row>
    <row r="472" spans="1:13">
      <c r="A472" s="3" t="s">
        <v>14</v>
      </c>
      <c r="B472" s="6">
        <f>C472+G472</f>
        <v>5740</v>
      </c>
      <c r="C472" s="7">
        <v>1498</v>
      </c>
      <c r="D472" s="8">
        <f t="shared" si="84"/>
        <v>0.26097560975609757</v>
      </c>
      <c r="E472" s="12">
        <v>1750913</v>
      </c>
      <c r="F472" s="10">
        <f>E472/(E472+I471)</f>
        <v>0.24252431181172862</v>
      </c>
      <c r="G472" s="11">
        <v>4242</v>
      </c>
      <c r="H472" s="10">
        <f t="shared" si="85"/>
        <v>0.73902439024390243</v>
      </c>
      <c r="I472" s="13">
        <v>532034</v>
      </c>
      <c r="J472" s="10">
        <f>I471/(E472+I471)</f>
        <v>0.75747568818827138</v>
      </c>
      <c r="M472" s="14"/>
    </row>
    <row r="473" spans="1:13" ht="15.75">
      <c r="B473" s="15">
        <f>SUM(B468:B472)</f>
        <v>645676</v>
      </c>
      <c r="C473" s="16">
        <f>SUM(C468:C472)</f>
        <v>82146</v>
      </c>
      <c r="D473" s="17">
        <f t="shared" si="84"/>
        <v>0.1272248000545165</v>
      </c>
      <c r="E473" s="18">
        <f>SUM(E468:E472)</f>
        <v>350338392</v>
      </c>
      <c r="F473" s="10">
        <f>E473/(E473+I473)</f>
        <v>0.43799123998497064</v>
      </c>
      <c r="G473" s="18">
        <f>SUM(G468:G472)</f>
        <v>563530</v>
      </c>
      <c r="H473" s="17">
        <f t="shared" si="85"/>
        <v>0.87277519994548347</v>
      </c>
      <c r="I473" s="18">
        <f>SUM(I468:I472)</f>
        <v>449536948</v>
      </c>
      <c r="J473" s="10">
        <f>I473/(E473+I473)</f>
        <v>0.56200876001502931</v>
      </c>
    </row>
    <row r="474" spans="1:13" ht="15.75">
      <c r="A474" s="1" t="s">
        <v>0</v>
      </c>
      <c r="B474" s="3"/>
      <c r="J474" s="3"/>
    </row>
    <row r="475" spans="1:13" ht="15.75">
      <c r="A475" s="1" t="s">
        <v>58</v>
      </c>
      <c r="B475" s="2">
        <v>2</v>
      </c>
      <c r="C475" s="2" t="s">
        <v>2</v>
      </c>
      <c r="D475" s="2"/>
      <c r="E475" s="2"/>
      <c r="F475" s="2"/>
      <c r="G475" s="2" t="s">
        <v>3</v>
      </c>
      <c r="H475" s="2"/>
      <c r="I475" s="2"/>
      <c r="J475" s="2"/>
    </row>
    <row r="476" spans="1:13">
      <c r="B476" s="4" t="s">
        <v>4</v>
      </c>
      <c r="C476" s="4" t="s">
        <v>5</v>
      </c>
      <c r="D476" s="4"/>
      <c r="E476" s="4" t="s">
        <v>6</v>
      </c>
      <c r="F476" s="5"/>
      <c r="G476" s="4" t="s">
        <v>7</v>
      </c>
      <c r="H476" s="5"/>
      <c r="I476" s="5" t="s">
        <v>6</v>
      </c>
      <c r="J476" s="5"/>
    </row>
    <row r="477" spans="1:13">
      <c r="B477" s="4" t="s">
        <v>8</v>
      </c>
      <c r="C477" s="4" t="s">
        <v>8</v>
      </c>
      <c r="D477" s="4" t="s">
        <v>9</v>
      </c>
      <c r="E477" s="4" t="s">
        <v>8</v>
      </c>
      <c r="F477" s="5" t="s">
        <v>9</v>
      </c>
      <c r="G477" s="5" t="s">
        <v>8</v>
      </c>
      <c r="H477" s="5" t="s">
        <v>9</v>
      </c>
      <c r="I477" s="5" t="s">
        <v>8</v>
      </c>
      <c r="J477" s="5" t="s">
        <v>9</v>
      </c>
    </row>
    <row r="478" spans="1:13">
      <c r="B478" s="4"/>
      <c r="C478" s="4"/>
      <c r="D478" s="4"/>
      <c r="E478" s="4"/>
      <c r="F478" s="4"/>
      <c r="G478" s="4"/>
      <c r="H478" s="4"/>
      <c r="I478" s="4"/>
      <c r="J478" s="4"/>
    </row>
    <row r="479" spans="1:13">
      <c r="A479" s="3" t="s">
        <v>10</v>
      </c>
      <c r="B479" s="6">
        <f>C479+G479</f>
        <v>573233</v>
      </c>
      <c r="C479" s="7">
        <v>59048</v>
      </c>
      <c r="D479" s="8">
        <f t="shared" ref="D479:D484" si="86">C479/B479</f>
        <v>0.10300872420115381</v>
      </c>
      <c r="E479" s="12">
        <v>32274602</v>
      </c>
      <c r="F479" s="10">
        <f>E479/(E479+I479)</f>
        <v>0.10531749344355032</v>
      </c>
      <c r="G479" s="11">
        <v>514185</v>
      </c>
      <c r="H479" s="10">
        <f t="shared" ref="H479:H484" si="87">G479/B479</f>
        <v>0.89699127579884619</v>
      </c>
      <c r="I479" s="12">
        <v>274175931</v>
      </c>
      <c r="J479" s="10">
        <f>I479/(E479+I479)</f>
        <v>0.89468250655644965</v>
      </c>
    </row>
    <row r="480" spans="1:13">
      <c r="A480" s="3" t="s">
        <v>11</v>
      </c>
      <c r="B480" s="6">
        <f>C480+G480</f>
        <v>60764</v>
      </c>
      <c r="C480" s="7">
        <v>16890</v>
      </c>
      <c r="D480" s="8">
        <f t="shared" si="86"/>
        <v>0.27796063458626818</v>
      </c>
      <c r="E480" s="12">
        <v>14720770</v>
      </c>
      <c r="F480" s="10">
        <f>E480/(E480+I480)</f>
        <v>0.2792791779255473</v>
      </c>
      <c r="G480" s="11">
        <v>43874</v>
      </c>
      <c r="H480" s="10">
        <f t="shared" si="87"/>
        <v>0.72203936541373182</v>
      </c>
      <c r="I480" s="12">
        <v>37989103</v>
      </c>
      <c r="J480" s="10">
        <f>I480/(E480+I480)</f>
        <v>0.72072082207445276</v>
      </c>
    </row>
    <row r="481" spans="1:13">
      <c r="A481" s="3" t="s">
        <v>12</v>
      </c>
      <c r="B481" s="6">
        <f>C481+G481</f>
        <v>11174</v>
      </c>
      <c r="C481" s="7">
        <v>5332</v>
      </c>
      <c r="D481" s="8">
        <f t="shared" si="86"/>
        <v>0.47717916592088777</v>
      </c>
      <c r="E481" s="12">
        <v>112889281</v>
      </c>
      <c r="F481" s="10">
        <f>E481/(E481+I481)</f>
        <v>0.63558641321878173</v>
      </c>
      <c r="G481" s="11">
        <v>5842</v>
      </c>
      <c r="H481" s="10">
        <f t="shared" si="87"/>
        <v>0.52282083407911217</v>
      </c>
      <c r="I481" s="12">
        <v>64725090</v>
      </c>
      <c r="J481" s="10">
        <f>I481/(E481+I481)</f>
        <v>0.36441358678121827</v>
      </c>
    </row>
    <row r="482" spans="1:13">
      <c r="A482" s="3" t="s">
        <v>13</v>
      </c>
      <c r="B482" s="6">
        <f>C482+G482</f>
        <v>387</v>
      </c>
      <c r="C482" s="7">
        <v>337</v>
      </c>
      <c r="D482" s="8">
        <f t="shared" si="86"/>
        <v>0.87080103359173122</v>
      </c>
      <c r="E482" s="12">
        <v>278891657</v>
      </c>
      <c r="F482" s="10">
        <f>E482/(E482+I482)</f>
        <v>0.9794102216956263</v>
      </c>
      <c r="G482" s="11">
        <v>50</v>
      </c>
      <c r="H482" s="10">
        <f t="shared" si="87"/>
        <v>0.12919896640826872</v>
      </c>
      <c r="I482" s="12">
        <v>5863036</v>
      </c>
      <c r="J482" s="10">
        <f>I482/(E482+I482)</f>
        <v>2.0589778304373724E-2</v>
      </c>
    </row>
    <row r="483" spans="1:13">
      <c r="A483" s="3" t="s">
        <v>14</v>
      </c>
      <c r="B483" s="6">
        <f>C483+G483</f>
        <v>5782</v>
      </c>
      <c r="C483" s="7">
        <v>1510</v>
      </c>
      <c r="D483" s="8">
        <f t="shared" si="86"/>
        <v>0.26115530958145972</v>
      </c>
      <c r="E483" s="12">
        <v>795876</v>
      </c>
      <c r="F483" s="10">
        <f>E483/(E483+I482)</f>
        <v>0.11952042615970897</v>
      </c>
      <c r="G483" s="11">
        <v>4272</v>
      </c>
      <c r="H483" s="10">
        <f t="shared" si="87"/>
        <v>0.73884469041854028</v>
      </c>
      <c r="I483" s="13">
        <v>558034</v>
      </c>
      <c r="J483" s="10">
        <f>I482/(E483+I482)</f>
        <v>0.88047957384029107</v>
      </c>
      <c r="M483" s="14"/>
    </row>
    <row r="484" spans="1:13" ht="15.75">
      <c r="B484" s="15">
        <f>SUM(B479:B483)</f>
        <v>651340</v>
      </c>
      <c r="C484" s="16">
        <f>SUM(C479:C483)</f>
        <v>83117</v>
      </c>
      <c r="D484" s="17">
        <f t="shared" si="86"/>
        <v>0.12760923634353794</v>
      </c>
      <c r="E484" s="18">
        <f>SUM(E479:E483)</f>
        <v>439572186</v>
      </c>
      <c r="F484" s="10">
        <f>E484/(E484+I484)</f>
        <v>0.5341852766548767</v>
      </c>
      <c r="G484" s="18">
        <f>SUM(G479:G483)</f>
        <v>568223</v>
      </c>
      <c r="H484" s="17">
        <f t="shared" si="87"/>
        <v>0.87239076365646206</v>
      </c>
      <c r="I484" s="18">
        <f>SUM(I479:I483)</f>
        <v>383311194</v>
      </c>
      <c r="J484" s="10">
        <f>I484/(E484+I484)</f>
        <v>0.46581472334512336</v>
      </c>
    </row>
    <row r="485" spans="1:13" ht="15.75">
      <c r="A485" s="1" t="s">
        <v>0</v>
      </c>
      <c r="B485" s="3"/>
      <c r="J485" s="3"/>
    </row>
    <row r="486" spans="1:13" ht="15.75">
      <c r="A486" s="1" t="s">
        <v>59</v>
      </c>
      <c r="B486" s="2">
        <v>2</v>
      </c>
      <c r="C486" s="2" t="s">
        <v>2</v>
      </c>
      <c r="D486" s="2"/>
      <c r="E486" s="2"/>
      <c r="F486" s="2"/>
      <c r="G486" s="2" t="s">
        <v>3</v>
      </c>
      <c r="H486" s="2"/>
      <c r="I486" s="2"/>
      <c r="J486" s="2"/>
    </row>
    <row r="487" spans="1:13">
      <c r="B487" s="4" t="s">
        <v>4</v>
      </c>
      <c r="C487" s="4" t="s">
        <v>5</v>
      </c>
      <c r="D487" s="4"/>
      <c r="E487" s="4" t="s">
        <v>6</v>
      </c>
      <c r="F487" s="5"/>
      <c r="G487" s="4" t="s">
        <v>7</v>
      </c>
      <c r="H487" s="5"/>
      <c r="I487" s="5" t="s">
        <v>6</v>
      </c>
      <c r="J487" s="5"/>
    </row>
    <row r="488" spans="1:13">
      <c r="B488" s="4" t="s">
        <v>8</v>
      </c>
      <c r="C488" s="4" t="s">
        <v>8</v>
      </c>
      <c r="D488" s="4" t="s">
        <v>9</v>
      </c>
      <c r="E488" s="4" t="s">
        <v>8</v>
      </c>
      <c r="F488" s="5" t="s">
        <v>9</v>
      </c>
      <c r="G488" s="5" t="s">
        <v>8</v>
      </c>
      <c r="H488" s="5" t="s">
        <v>9</v>
      </c>
      <c r="I488" s="5" t="s">
        <v>8</v>
      </c>
      <c r="J488" s="5" t="s">
        <v>9</v>
      </c>
    </row>
    <row r="489" spans="1:13">
      <c r="B489" s="4"/>
      <c r="C489" s="4"/>
      <c r="D489" s="4"/>
      <c r="E489" s="4"/>
      <c r="F489" s="4"/>
      <c r="G489" s="4"/>
      <c r="H489" s="4"/>
      <c r="I489" s="4"/>
      <c r="J489" s="4"/>
    </row>
    <row r="490" spans="1:13">
      <c r="A490" s="3" t="s">
        <v>10</v>
      </c>
      <c r="B490" s="6">
        <f>C490+G490</f>
        <v>543375</v>
      </c>
      <c r="C490" s="7">
        <v>55608</v>
      </c>
      <c r="D490" s="8">
        <f t="shared" ref="D490:D495" si="88">C490/B490</f>
        <v>0.10233816425120773</v>
      </c>
      <c r="E490" s="12">
        <v>27419596</v>
      </c>
      <c r="F490" s="10">
        <f>E490/(E490+I490)</f>
        <v>0.10245554932073754</v>
      </c>
      <c r="G490" s="11">
        <v>487767</v>
      </c>
      <c r="H490" s="10">
        <f t="shared" ref="H490:H495" si="89">G490/B490</f>
        <v>0.89766183574879232</v>
      </c>
      <c r="I490" s="12">
        <v>240204717</v>
      </c>
      <c r="J490" s="10">
        <f>I490/(E490+I490)</f>
        <v>0.89754445067926247</v>
      </c>
    </row>
    <row r="491" spans="1:13">
      <c r="A491" s="3" t="s">
        <v>11</v>
      </c>
      <c r="B491" s="6">
        <f>C491+G491</f>
        <v>57795</v>
      </c>
      <c r="C491" s="7">
        <v>15969</v>
      </c>
      <c r="D491" s="8">
        <f t="shared" si="88"/>
        <v>0.27630417856215933</v>
      </c>
      <c r="E491" s="12">
        <v>12926949</v>
      </c>
      <c r="F491" s="10">
        <f>E491/(E491+I491)</f>
        <v>0.2869674188245509</v>
      </c>
      <c r="G491" s="11">
        <v>41826</v>
      </c>
      <c r="H491" s="10">
        <f t="shared" si="89"/>
        <v>0.72369582143784061</v>
      </c>
      <c r="I491" s="12">
        <v>32119799</v>
      </c>
      <c r="J491" s="10">
        <f>I491/(E491+I491)</f>
        <v>0.7130325811754491</v>
      </c>
    </row>
    <row r="492" spans="1:13">
      <c r="A492" s="3" t="s">
        <v>12</v>
      </c>
      <c r="B492" s="6">
        <f>C492+G492</f>
        <v>10506</v>
      </c>
      <c r="C492" s="7">
        <v>5006</v>
      </c>
      <c r="D492" s="8">
        <f t="shared" si="88"/>
        <v>0.47648962497620406</v>
      </c>
      <c r="E492" s="12">
        <v>93634298</v>
      </c>
      <c r="F492" s="10">
        <f>E492/(E492+I492)</f>
        <v>0.64284944757442608</v>
      </c>
      <c r="G492" s="11">
        <v>5500</v>
      </c>
      <c r="H492" s="10">
        <f t="shared" si="89"/>
        <v>0.52351037502379594</v>
      </c>
      <c r="I492" s="12">
        <v>52020798</v>
      </c>
      <c r="J492" s="10">
        <f>I492/(E492+I492)</f>
        <v>0.35715055242557392</v>
      </c>
    </row>
    <row r="493" spans="1:13">
      <c r="A493" s="3" t="s">
        <v>13</v>
      </c>
      <c r="B493" s="6">
        <f>C493+G493</f>
        <v>353</v>
      </c>
      <c r="C493" s="7">
        <v>305</v>
      </c>
      <c r="D493" s="8">
        <f t="shared" si="88"/>
        <v>0.86402266288951846</v>
      </c>
      <c r="E493" s="12">
        <v>203974878</v>
      </c>
      <c r="F493" s="10">
        <f>E493/(E493+I493)</f>
        <v>0.97385071641390497</v>
      </c>
      <c r="G493" s="11">
        <v>48</v>
      </c>
      <c r="H493" s="10">
        <f t="shared" si="89"/>
        <v>0.1359773371104816</v>
      </c>
      <c r="I493" s="12">
        <v>5477017</v>
      </c>
      <c r="J493" s="10">
        <f>I493/(E493+I493)</f>
        <v>2.6149283586095032E-2</v>
      </c>
    </row>
    <row r="494" spans="1:13">
      <c r="A494" s="3" t="s">
        <v>14</v>
      </c>
      <c r="B494" s="6">
        <f>C494+G494</f>
        <v>5566</v>
      </c>
      <c r="C494" s="7">
        <v>1444</v>
      </c>
      <c r="D494" s="8">
        <f t="shared" si="88"/>
        <v>0.25943226733740565</v>
      </c>
      <c r="E494" s="12">
        <v>799828</v>
      </c>
      <c r="F494" s="10">
        <f>E494/(E494+I493)</f>
        <v>0.12742516343800109</v>
      </c>
      <c r="G494" s="11">
        <v>4122</v>
      </c>
      <c r="H494" s="10">
        <f t="shared" si="89"/>
        <v>0.74056773266259435</v>
      </c>
      <c r="I494" s="13">
        <v>598114</v>
      </c>
      <c r="J494" s="10">
        <f>I493/(E494+I493)</f>
        <v>0.87257483656199886</v>
      </c>
      <c r="M494" s="14"/>
    </row>
    <row r="495" spans="1:13" ht="15.75">
      <c r="B495" s="15">
        <f>SUM(B490:B494)</f>
        <v>617595</v>
      </c>
      <c r="C495" s="16">
        <f>SUM(C490:C494)</f>
        <v>78332</v>
      </c>
      <c r="D495" s="17">
        <f t="shared" si="88"/>
        <v>0.12683392838348756</v>
      </c>
      <c r="E495" s="18">
        <f>SUM(E490:E494)</f>
        <v>338755549</v>
      </c>
      <c r="F495" s="10">
        <f>E495/(E495+I495)</f>
        <v>0.50622788629204774</v>
      </c>
      <c r="G495" s="18">
        <f>SUM(G490:G494)</f>
        <v>539263</v>
      </c>
      <c r="H495" s="17">
        <f t="shared" si="89"/>
        <v>0.87316607161651238</v>
      </c>
      <c r="I495" s="18">
        <f>SUM(I490:I494)</f>
        <v>330420445</v>
      </c>
      <c r="J495" s="10">
        <f>I495/(E495+I495)</f>
        <v>0.49377211370795226</v>
      </c>
    </row>
    <row r="496" spans="1:13" ht="15.75">
      <c r="A496" s="1" t="s">
        <v>0</v>
      </c>
      <c r="B496" s="3"/>
      <c r="J496" s="3"/>
    </row>
    <row r="497" spans="1:13" ht="15.75">
      <c r="A497" s="1" t="s">
        <v>60</v>
      </c>
      <c r="B497" s="2">
        <v>2</v>
      </c>
      <c r="C497" s="2" t="s">
        <v>2</v>
      </c>
      <c r="D497" s="2"/>
      <c r="E497" s="2"/>
      <c r="F497" s="2"/>
      <c r="G497" s="2" t="s">
        <v>3</v>
      </c>
      <c r="H497" s="2"/>
      <c r="I497" s="2"/>
      <c r="J497" s="2"/>
    </row>
    <row r="498" spans="1:13">
      <c r="B498" s="4" t="s">
        <v>4</v>
      </c>
      <c r="C498" s="4" t="s">
        <v>5</v>
      </c>
      <c r="D498" s="4"/>
      <c r="E498" s="4" t="s">
        <v>6</v>
      </c>
      <c r="F498" s="5"/>
      <c r="G498" s="4" t="s">
        <v>7</v>
      </c>
      <c r="H498" s="5"/>
      <c r="I498" s="5" t="s">
        <v>6</v>
      </c>
      <c r="J498" s="5"/>
    </row>
    <row r="499" spans="1:13">
      <c r="B499" s="4" t="s">
        <v>8</v>
      </c>
      <c r="C499" s="4" t="s">
        <v>8</v>
      </c>
      <c r="D499" s="4" t="s">
        <v>9</v>
      </c>
      <c r="E499" s="4" t="s">
        <v>8</v>
      </c>
      <c r="F499" s="5" t="s">
        <v>9</v>
      </c>
      <c r="G499" s="5" t="s">
        <v>8</v>
      </c>
      <c r="H499" s="5" t="s">
        <v>9</v>
      </c>
      <c r="I499" s="5" t="s">
        <v>8</v>
      </c>
      <c r="J499" s="5" t="s">
        <v>9</v>
      </c>
    </row>
    <row r="500" spans="1:13">
      <c r="B500" s="4"/>
      <c r="C500" s="4"/>
      <c r="D500" s="4"/>
      <c r="E500" s="4"/>
      <c r="F500" s="4"/>
      <c r="G500" s="4"/>
      <c r="H500" s="4"/>
      <c r="I500" s="4"/>
      <c r="J500" s="4"/>
    </row>
    <row r="501" spans="1:13">
      <c r="A501" s="3" t="s">
        <v>10</v>
      </c>
      <c r="B501" s="6">
        <f>C501+G501</f>
        <v>569143</v>
      </c>
      <c r="C501" s="7">
        <v>58658</v>
      </c>
      <c r="D501" s="8">
        <f t="shared" ref="D501:D506" si="90">C501/B501</f>
        <v>0.1030637291506704</v>
      </c>
      <c r="E501" s="12">
        <v>32178392</v>
      </c>
      <c r="F501" s="10">
        <f>E501/(E501+I501)</f>
        <v>0.10055343086670233</v>
      </c>
      <c r="G501" s="11">
        <v>510485</v>
      </c>
      <c r="H501" s="10">
        <f t="shared" ref="H501:H506" si="91">G501/B501</f>
        <v>0.89693627084932959</v>
      </c>
      <c r="I501" s="12">
        <v>287834478</v>
      </c>
      <c r="J501" s="10">
        <f>I501/(E501+I501)</f>
        <v>0.89944656913329768</v>
      </c>
    </row>
    <row r="502" spans="1:13">
      <c r="A502" s="3" t="s">
        <v>11</v>
      </c>
      <c r="B502" s="6">
        <f>C502+G502</f>
        <v>60202</v>
      </c>
      <c r="C502" s="7">
        <v>16696</v>
      </c>
      <c r="D502" s="8">
        <f t="shared" si="90"/>
        <v>0.27733297897079834</v>
      </c>
      <c r="E502" s="12">
        <v>14760283</v>
      </c>
      <c r="F502" s="10">
        <f>E502/(E502+I502)</f>
        <v>0.28468076172013623</v>
      </c>
      <c r="G502" s="11">
        <v>43506</v>
      </c>
      <c r="H502" s="10">
        <f t="shared" si="91"/>
        <v>0.72266702102920166</v>
      </c>
      <c r="I502" s="12">
        <v>37088261</v>
      </c>
      <c r="J502" s="10">
        <f>I502/(E502+I502)</f>
        <v>0.71531923827986377</v>
      </c>
    </row>
    <row r="503" spans="1:13">
      <c r="A503" s="3" t="s">
        <v>12</v>
      </c>
      <c r="B503" s="6">
        <f>C503+G503</f>
        <v>11074</v>
      </c>
      <c r="C503" s="7">
        <v>5314</v>
      </c>
      <c r="D503" s="8">
        <f t="shared" si="90"/>
        <v>0.4798627415567997</v>
      </c>
      <c r="E503" s="12">
        <v>103499912</v>
      </c>
      <c r="F503" s="10">
        <f>E503/(E503+I503)</f>
        <v>0.65238705949141562</v>
      </c>
      <c r="G503" s="11">
        <v>5760</v>
      </c>
      <c r="H503" s="10">
        <f t="shared" si="91"/>
        <v>0.52013725844320025</v>
      </c>
      <c r="I503" s="12">
        <v>55148103</v>
      </c>
      <c r="J503" s="10">
        <f>I503/(E503+I503)</f>
        <v>0.34761294050858438</v>
      </c>
    </row>
    <row r="504" spans="1:13">
      <c r="A504" s="3" t="s">
        <v>13</v>
      </c>
      <c r="B504" s="6">
        <f>C504+G504</f>
        <v>370</v>
      </c>
      <c r="C504" s="7">
        <v>326</v>
      </c>
      <c r="D504" s="8">
        <f t="shared" si="90"/>
        <v>0.88108108108108107</v>
      </c>
      <c r="E504" s="12">
        <v>151498551</v>
      </c>
      <c r="F504" s="10">
        <f>E504/(E504+I504)</f>
        <v>0.96294480490599332</v>
      </c>
      <c r="G504" s="11">
        <v>44</v>
      </c>
      <c r="H504" s="10">
        <f t="shared" si="91"/>
        <v>0.11891891891891893</v>
      </c>
      <c r="I504" s="12">
        <v>5829834</v>
      </c>
      <c r="J504" s="10">
        <f>I504/(E504+I504)</f>
        <v>3.7055195094006718E-2</v>
      </c>
    </row>
    <row r="505" spans="1:13">
      <c r="A505" s="3" t="s">
        <v>14</v>
      </c>
      <c r="B505" s="6">
        <f>C505+G505</f>
        <v>5778</v>
      </c>
      <c r="C505" s="7">
        <v>1515</v>
      </c>
      <c r="D505" s="8">
        <f t="shared" si="90"/>
        <v>0.26220145379023885</v>
      </c>
      <c r="E505" s="12">
        <v>1332778</v>
      </c>
      <c r="F505" s="10">
        <f>E505/(E505+I504)</f>
        <v>0.18607429803540942</v>
      </c>
      <c r="G505" s="11">
        <v>4263</v>
      </c>
      <c r="H505" s="10">
        <f t="shared" si="91"/>
        <v>0.73779854620976115</v>
      </c>
      <c r="I505" s="13">
        <v>718470</v>
      </c>
      <c r="J505" s="10">
        <f>I504/(E505+I504)</f>
        <v>0.81392570196459058</v>
      </c>
      <c r="M505" s="14"/>
    </row>
    <row r="506" spans="1:13" ht="15.75">
      <c r="B506" s="15">
        <f>SUM(B501:B505)</f>
        <v>646567</v>
      </c>
      <c r="C506" s="16">
        <f>SUM(C501:C505)</f>
        <v>82509</v>
      </c>
      <c r="D506" s="17">
        <f t="shared" si="90"/>
        <v>0.12761090497968502</v>
      </c>
      <c r="E506" s="18">
        <f>SUM(E501:E505)</f>
        <v>303269916</v>
      </c>
      <c r="F506" s="10">
        <f>E506/(E506+I506)</f>
        <v>0.4395922949130624</v>
      </c>
      <c r="G506" s="18">
        <f>SUM(G501:G505)</f>
        <v>564058</v>
      </c>
      <c r="H506" s="17">
        <f t="shared" si="91"/>
        <v>0.87238909502031503</v>
      </c>
      <c r="I506" s="18">
        <f>SUM(I501:I505)</f>
        <v>386619146</v>
      </c>
      <c r="J506" s="10">
        <f>I506/(E506+I506)</f>
        <v>0.5604077050869376</v>
      </c>
    </row>
    <row r="507" spans="1:13" ht="15.75">
      <c r="A507" s="1" t="s">
        <v>0</v>
      </c>
      <c r="B507" s="3"/>
      <c r="J507" s="3"/>
    </row>
    <row r="508" spans="1:13" ht="15.75">
      <c r="A508" s="1" t="s">
        <v>61</v>
      </c>
      <c r="B508" s="2">
        <v>2</v>
      </c>
      <c r="C508" s="2" t="s">
        <v>2</v>
      </c>
      <c r="D508" s="2"/>
      <c r="E508" s="2"/>
      <c r="F508" s="2"/>
      <c r="G508" s="2" t="s">
        <v>3</v>
      </c>
      <c r="H508" s="2"/>
      <c r="I508" s="2"/>
      <c r="J508" s="2"/>
    </row>
    <row r="509" spans="1:13">
      <c r="B509" s="4" t="s">
        <v>4</v>
      </c>
      <c r="C509" s="4" t="s">
        <v>5</v>
      </c>
      <c r="D509" s="4"/>
      <c r="E509" s="4" t="s">
        <v>6</v>
      </c>
      <c r="F509" s="5"/>
      <c r="G509" s="4" t="s">
        <v>7</v>
      </c>
      <c r="H509" s="5"/>
      <c r="I509" s="5" t="s">
        <v>6</v>
      </c>
      <c r="J509" s="5"/>
    </row>
    <row r="510" spans="1:13">
      <c r="B510" s="4" t="s">
        <v>8</v>
      </c>
      <c r="C510" s="4" t="s">
        <v>8</v>
      </c>
      <c r="D510" s="4" t="s">
        <v>9</v>
      </c>
      <c r="E510" s="4" t="s">
        <v>8</v>
      </c>
      <c r="F510" s="5" t="s">
        <v>9</v>
      </c>
      <c r="G510" s="5" t="s">
        <v>8</v>
      </c>
      <c r="H510" s="5" t="s">
        <v>9</v>
      </c>
      <c r="I510" s="5" t="s">
        <v>8</v>
      </c>
      <c r="J510" s="5" t="s">
        <v>9</v>
      </c>
    </row>
    <row r="511" spans="1:13">
      <c r="B511" s="4"/>
      <c r="C511" s="4"/>
      <c r="D511" s="4"/>
      <c r="E511" s="4"/>
      <c r="F511" s="4"/>
      <c r="G511" s="4"/>
      <c r="H511" s="4"/>
      <c r="I511" s="4"/>
      <c r="J511" s="4"/>
    </row>
    <row r="512" spans="1:13">
      <c r="A512" s="3" t="s">
        <v>10</v>
      </c>
      <c r="B512" s="6">
        <f>C512+G512</f>
        <v>571326</v>
      </c>
      <c r="C512" s="7">
        <v>59476</v>
      </c>
      <c r="D512" s="8">
        <f t="shared" ref="D512:D517" si="92">C512/B512</f>
        <v>0.10410168625268236</v>
      </c>
      <c r="E512" s="12">
        <v>38555223</v>
      </c>
      <c r="F512" s="10">
        <f>E512/(E512+I512)</f>
        <v>9.8795411972217334E-2</v>
      </c>
      <c r="G512" s="11">
        <v>511850</v>
      </c>
      <c r="H512" s="10">
        <f t="shared" ref="H512:H517" si="93">G512/B512</f>
        <v>0.89589831374731765</v>
      </c>
      <c r="I512" s="12">
        <v>351697950</v>
      </c>
      <c r="J512" s="10">
        <f>I512/(E512+I512)</f>
        <v>0.90120458802778269</v>
      </c>
    </row>
    <row r="513" spans="1:13">
      <c r="A513" s="3" t="s">
        <v>11</v>
      </c>
      <c r="B513" s="6">
        <f>C513+G513</f>
        <v>60387</v>
      </c>
      <c r="C513" s="7">
        <v>16731</v>
      </c>
      <c r="D513" s="8">
        <f t="shared" si="92"/>
        <v>0.27706294401112824</v>
      </c>
      <c r="E513" s="12">
        <v>16735269</v>
      </c>
      <c r="F513" s="10">
        <f>E513/(E513+I513)</f>
        <v>0.27602712520399042</v>
      </c>
      <c r="G513" s="11">
        <v>43656</v>
      </c>
      <c r="H513" s="10">
        <f t="shared" si="93"/>
        <v>0.72293705598887181</v>
      </c>
      <c r="I513" s="12">
        <v>43893805</v>
      </c>
      <c r="J513" s="10">
        <f>I513/(E513+I513)</f>
        <v>0.72397287479600958</v>
      </c>
    </row>
    <row r="514" spans="1:13">
      <c r="A514" s="3" t="s">
        <v>12</v>
      </c>
      <c r="B514" s="6">
        <f>C514+G514</f>
        <v>11244</v>
      </c>
      <c r="C514" s="7">
        <v>5379</v>
      </c>
      <c r="D514" s="8">
        <f t="shared" si="92"/>
        <v>0.47838847385272143</v>
      </c>
      <c r="E514" s="12">
        <v>114979131</v>
      </c>
      <c r="F514" s="10">
        <f>E514/(E514+I514)</f>
        <v>0.65215529254167381</v>
      </c>
      <c r="G514" s="11">
        <v>5865</v>
      </c>
      <c r="H514" s="10">
        <f t="shared" si="93"/>
        <v>0.52161152614727857</v>
      </c>
      <c r="I514" s="12">
        <v>61327237</v>
      </c>
      <c r="J514" s="10">
        <f>I514/(E514+I514)</f>
        <v>0.34784470745832619</v>
      </c>
    </row>
    <row r="515" spans="1:13">
      <c r="A515" s="3" t="s">
        <v>13</v>
      </c>
      <c r="B515" s="6">
        <f>C515+G515</f>
        <v>391</v>
      </c>
      <c r="C515" s="7">
        <v>339</v>
      </c>
      <c r="D515" s="8">
        <f t="shared" si="92"/>
        <v>0.86700767263427114</v>
      </c>
      <c r="E515" s="12">
        <v>261017436</v>
      </c>
      <c r="F515" s="10">
        <f>E515/(E515+I515)</f>
        <v>0.97306411871823939</v>
      </c>
      <c r="G515" s="11">
        <v>52</v>
      </c>
      <c r="H515" s="10">
        <f t="shared" si="93"/>
        <v>0.13299232736572891</v>
      </c>
      <c r="I515" s="12">
        <v>7225356</v>
      </c>
      <c r="J515" s="10">
        <f>I515/(E515+I515)</f>
        <v>2.6935881281760592E-2</v>
      </c>
    </row>
    <row r="516" spans="1:13">
      <c r="A516" s="3" t="s">
        <v>14</v>
      </c>
      <c r="B516" s="6">
        <f>C516+G516</f>
        <v>5802</v>
      </c>
      <c r="C516" s="7">
        <v>1527</v>
      </c>
      <c r="D516" s="8">
        <f t="shared" si="92"/>
        <v>0.26318510858324717</v>
      </c>
      <c r="E516" s="12">
        <v>2150332</v>
      </c>
      <c r="F516" s="10">
        <f>E516/(E516+I515)</f>
        <v>0.22935191529410962</v>
      </c>
      <c r="G516" s="11">
        <v>4275</v>
      </c>
      <c r="H516" s="10">
        <f t="shared" si="93"/>
        <v>0.73681489141675283</v>
      </c>
      <c r="I516" s="13">
        <v>1104466</v>
      </c>
      <c r="J516" s="10">
        <f>I515/(E516+I515)</f>
        <v>0.77064808470589041</v>
      </c>
      <c r="M516" s="14"/>
    </row>
    <row r="517" spans="1:13" ht="15.75">
      <c r="B517" s="15">
        <f>SUM(B512:B516)</f>
        <v>649150</v>
      </c>
      <c r="C517" s="16">
        <f>SUM(C512:C516)</f>
        <v>83452</v>
      </c>
      <c r="D517" s="17">
        <f t="shared" si="92"/>
        <v>0.12855580374335671</v>
      </c>
      <c r="E517" s="18">
        <f>SUM(E512:E516)</f>
        <v>433437391</v>
      </c>
      <c r="F517" s="10">
        <f>E517/(E517+I517)</f>
        <v>0.48230115093399034</v>
      </c>
      <c r="G517" s="18">
        <f>SUM(G512:G516)</f>
        <v>565698</v>
      </c>
      <c r="H517" s="17">
        <f t="shared" si="93"/>
        <v>0.87144419625664327</v>
      </c>
      <c r="I517" s="18">
        <f>SUM(I512:I516)</f>
        <v>465248814</v>
      </c>
      <c r="J517" s="10">
        <f>I517/(E517+I517)</f>
        <v>0.5176988490660096</v>
      </c>
      <c r="L517" s="3" t="s">
        <v>62</v>
      </c>
    </row>
    <row r="518" spans="1:13" ht="15.75">
      <c r="A518" s="1" t="s">
        <v>0</v>
      </c>
      <c r="B518" s="3"/>
      <c r="J518" s="3"/>
    </row>
    <row r="519" spans="1:13" ht="15.75">
      <c r="A519" s="1" t="s">
        <v>63</v>
      </c>
      <c r="B519" s="2">
        <v>2</v>
      </c>
      <c r="C519" s="2" t="s">
        <v>2</v>
      </c>
      <c r="D519" s="2"/>
      <c r="E519" s="2"/>
      <c r="F519" s="2"/>
      <c r="G519" s="2" t="s">
        <v>3</v>
      </c>
      <c r="H519" s="2"/>
      <c r="I519" s="2"/>
      <c r="J519" s="2"/>
    </row>
    <row r="520" spans="1:13">
      <c r="B520" s="4" t="s">
        <v>4</v>
      </c>
      <c r="C520" s="4" t="s">
        <v>5</v>
      </c>
      <c r="D520" s="4"/>
      <c r="E520" s="4" t="s">
        <v>6</v>
      </c>
      <c r="F520" s="5"/>
      <c r="G520" s="4" t="s">
        <v>7</v>
      </c>
      <c r="H520" s="5"/>
      <c r="I520" s="5" t="s">
        <v>6</v>
      </c>
      <c r="J520" s="5"/>
    </row>
    <row r="521" spans="1:13">
      <c r="B521" s="4" t="s">
        <v>8</v>
      </c>
      <c r="C521" s="4" t="s">
        <v>8</v>
      </c>
      <c r="D521" s="4" t="s">
        <v>9</v>
      </c>
      <c r="E521" s="4" t="s">
        <v>8</v>
      </c>
      <c r="F521" s="5" t="s">
        <v>9</v>
      </c>
      <c r="G521" s="5" t="s">
        <v>8</v>
      </c>
      <c r="H521" s="5" t="s">
        <v>9</v>
      </c>
      <c r="I521" s="5" t="s">
        <v>8</v>
      </c>
      <c r="J521" s="5" t="s">
        <v>9</v>
      </c>
    </row>
    <row r="522" spans="1:13">
      <c r="B522" s="4"/>
      <c r="C522" s="4"/>
      <c r="D522" s="4"/>
      <c r="E522" s="4"/>
      <c r="F522" s="4"/>
      <c r="G522" s="4"/>
      <c r="H522" s="4"/>
      <c r="I522" s="4"/>
      <c r="J522" s="4"/>
    </row>
    <row r="523" spans="1:13">
      <c r="A523" s="3" t="s">
        <v>10</v>
      </c>
      <c r="B523" s="6">
        <f>C523+G523</f>
        <v>541762</v>
      </c>
      <c r="C523" s="7">
        <v>56814</v>
      </c>
      <c r="D523" s="8">
        <f t="shared" ref="D523:D528" si="94">C523/B523</f>
        <v>0.10486892768411221</v>
      </c>
      <c r="E523" s="12">
        <v>35272873</v>
      </c>
      <c r="F523" s="10">
        <f>E523/(E523+I523)</f>
        <v>9.9403382262914911E-2</v>
      </c>
      <c r="G523" s="11">
        <v>484948</v>
      </c>
      <c r="H523" s="10">
        <f t="shared" ref="H523:H528" si="95">G523/B523</f>
        <v>0.89513107231588784</v>
      </c>
      <c r="I523" s="12">
        <v>319572930</v>
      </c>
      <c r="J523" s="10">
        <f>I523/(E523+I523)</f>
        <v>0.9005966177370851</v>
      </c>
    </row>
    <row r="524" spans="1:13">
      <c r="A524" s="3" t="s">
        <v>11</v>
      </c>
      <c r="B524" s="6">
        <f>C524+G524</f>
        <v>57133</v>
      </c>
      <c r="C524" s="7">
        <v>15774</v>
      </c>
      <c r="D524" s="8">
        <f t="shared" si="94"/>
        <v>0.27609262597798118</v>
      </c>
      <c r="E524" s="12">
        <v>14640585</v>
      </c>
      <c r="F524" s="10">
        <f>E524/(E524+I524)</f>
        <v>0.2713578901299124</v>
      </c>
      <c r="G524" s="11">
        <v>41359</v>
      </c>
      <c r="H524" s="10">
        <f t="shared" si="95"/>
        <v>0.72390737402201877</v>
      </c>
      <c r="I524" s="12">
        <v>39312462</v>
      </c>
      <c r="J524" s="10">
        <f>I524/(E524+I524)</f>
        <v>0.7286421098700876</v>
      </c>
    </row>
    <row r="525" spans="1:13">
      <c r="A525" s="3" t="s">
        <v>12</v>
      </c>
      <c r="B525" s="6">
        <f>C525+G525</f>
        <v>10549</v>
      </c>
      <c r="C525" s="7">
        <v>5008</v>
      </c>
      <c r="D525" s="8">
        <f t="shared" si="94"/>
        <v>0.47473694189022658</v>
      </c>
      <c r="E525" s="12">
        <v>97238739</v>
      </c>
      <c r="F525" s="10">
        <f>E525/(E525+I525)</f>
        <v>0.64614084782646142</v>
      </c>
      <c r="G525" s="11">
        <v>5541</v>
      </c>
      <c r="H525" s="10">
        <f t="shared" si="95"/>
        <v>0.52526305810977347</v>
      </c>
      <c r="I525" s="12">
        <v>53252813</v>
      </c>
      <c r="J525" s="10">
        <f>I525/(E525+I525)</f>
        <v>0.35385915217353864</v>
      </c>
    </row>
    <row r="526" spans="1:13">
      <c r="A526" s="3" t="s">
        <v>13</v>
      </c>
      <c r="B526" s="6">
        <f>C526+G526</f>
        <v>349</v>
      </c>
      <c r="C526" s="7">
        <v>293</v>
      </c>
      <c r="D526" s="8">
        <f t="shared" si="94"/>
        <v>0.83954154727793695</v>
      </c>
      <c r="E526" s="12">
        <v>183487470</v>
      </c>
      <c r="F526" s="10">
        <f>E526/(E526+I526)</f>
        <v>0.97035026875355335</v>
      </c>
      <c r="G526" s="11">
        <v>56</v>
      </c>
      <c r="H526" s="10">
        <f t="shared" si="95"/>
        <v>0.16045845272206305</v>
      </c>
      <c r="I526" s="12">
        <v>5606588</v>
      </c>
      <c r="J526" s="10">
        <f>I526/(E526+I526)</f>
        <v>2.9649731246446674E-2</v>
      </c>
    </row>
    <row r="527" spans="1:13">
      <c r="A527" s="3" t="s">
        <v>14</v>
      </c>
      <c r="B527" s="6">
        <f>C527+G527</f>
        <v>5165</v>
      </c>
      <c r="C527" s="7">
        <v>1292</v>
      </c>
      <c r="D527" s="8">
        <f t="shared" si="94"/>
        <v>0.25014520813165536</v>
      </c>
      <c r="E527" s="12">
        <v>-597855</v>
      </c>
      <c r="F527" s="10">
        <f>E527/(E527+I526)</f>
        <v>-0.11936252142008767</v>
      </c>
      <c r="G527" s="11">
        <v>3873</v>
      </c>
      <c r="H527" s="10">
        <f t="shared" si="95"/>
        <v>0.74985479186834458</v>
      </c>
      <c r="I527" s="13">
        <v>589449</v>
      </c>
      <c r="J527" s="10">
        <f>I526/(E527+I526)</f>
        <v>1.1193625214200877</v>
      </c>
      <c r="M527" s="14"/>
    </row>
    <row r="528" spans="1:13" ht="15.75">
      <c r="B528" s="15">
        <f>SUM(B523:B527)</f>
        <v>614958</v>
      </c>
      <c r="C528" s="16">
        <f>SUM(C523:C527)</f>
        <v>79181</v>
      </c>
      <c r="D528" s="17">
        <f t="shared" si="94"/>
        <v>0.12875838675161555</v>
      </c>
      <c r="E528" s="18">
        <f>SUM(E523:E527)</f>
        <v>330041812</v>
      </c>
      <c r="F528" s="10">
        <f>E528/(E528+I528)</f>
        <v>0.44101065264709821</v>
      </c>
      <c r="G528" s="18">
        <f>SUM(G523:G527)</f>
        <v>535777</v>
      </c>
      <c r="H528" s="17">
        <f t="shared" si="95"/>
        <v>0.87124161324838445</v>
      </c>
      <c r="I528" s="18">
        <f>SUM(I523:I527)</f>
        <v>418334242</v>
      </c>
      <c r="J528" s="10">
        <f>I528/(E528+I528)</f>
        <v>0.55898934735290184</v>
      </c>
    </row>
    <row r="529" spans="1:13" ht="15.75">
      <c r="A529" s="1" t="s">
        <v>0</v>
      </c>
      <c r="B529" s="3"/>
      <c r="J529" s="3"/>
    </row>
    <row r="530" spans="1:13" ht="15.75">
      <c r="A530" s="1" t="s">
        <v>64</v>
      </c>
      <c r="B530" s="2"/>
      <c r="C530" s="2" t="s">
        <v>2</v>
      </c>
      <c r="D530" s="2"/>
      <c r="E530" s="2"/>
      <c r="F530" s="2"/>
      <c r="G530" s="2" t="s">
        <v>3</v>
      </c>
      <c r="H530" s="2"/>
      <c r="I530" s="2"/>
      <c r="J530" s="2"/>
    </row>
    <row r="531" spans="1:13">
      <c r="B531" s="4" t="s">
        <v>4</v>
      </c>
      <c r="C531" s="4" t="s">
        <v>5</v>
      </c>
      <c r="D531" s="4"/>
      <c r="E531" s="4" t="s">
        <v>6</v>
      </c>
      <c r="F531" s="5"/>
      <c r="G531" s="4" t="s">
        <v>7</v>
      </c>
      <c r="H531" s="5"/>
      <c r="I531" s="5" t="s">
        <v>6</v>
      </c>
      <c r="J531" s="5"/>
    </row>
    <row r="532" spans="1:13">
      <c r="B532" s="4" t="s">
        <v>8</v>
      </c>
      <c r="C532" s="4" t="s">
        <v>8</v>
      </c>
      <c r="D532" s="4" t="s">
        <v>9</v>
      </c>
      <c r="E532" s="4" t="s">
        <v>8</v>
      </c>
      <c r="F532" s="5" t="s">
        <v>9</v>
      </c>
      <c r="G532" s="5" t="s">
        <v>8</v>
      </c>
      <c r="H532" s="5" t="s">
        <v>9</v>
      </c>
      <c r="I532" s="5" t="s">
        <v>8</v>
      </c>
      <c r="J532" s="5" t="s">
        <v>9</v>
      </c>
    </row>
    <row r="533" spans="1:13">
      <c r="B533" s="4"/>
      <c r="C533" s="4"/>
      <c r="D533" s="4"/>
      <c r="E533" s="4"/>
      <c r="F533" s="4"/>
      <c r="G533" s="4"/>
      <c r="H533" s="4"/>
      <c r="I533" s="4"/>
      <c r="J533" s="4"/>
    </row>
    <row r="534" spans="1:13">
      <c r="A534" s="3" t="s">
        <v>10</v>
      </c>
      <c r="B534" s="6">
        <f>C534+G534</f>
        <v>544474</v>
      </c>
      <c r="C534" s="7">
        <v>57793</v>
      </c>
      <c r="D534" s="8">
        <f t="shared" ref="D534:D539" si="96">C534/B534</f>
        <v>0.10614464602533821</v>
      </c>
      <c r="E534" s="12">
        <v>40155089</v>
      </c>
      <c r="F534" s="10">
        <f>E534/(E534+I534)</f>
        <v>0.10310799468911425</v>
      </c>
      <c r="G534" s="11">
        <v>486681</v>
      </c>
      <c r="H534" s="10">
        <f t="shared" ref="H534:H539" si="97">G534/B534</f>
        <v>0.89385535397466176</v>
      </c>
      <c r="I534" s="12">
        <v>349291812</v>
      </c>
      <c r="J534" s="10">
        <f>I534/(E534+I534)</f>
        <v>0.89689200531088575</v>
      </c>
    </row>
    <row r="535" spans="1:13">
      <c r="A535" s="3" t="s">
        <v>11</v>
      </c>
      <c r="B535" s="6">
        <f>C535+G535</f>
        <v>57523</v>
      </c>
      <c r="C535" s="7">
        <v>15914</v>
      </c>
      <c r="D535" s="8">
        <f t="shared" si="96"/>
        <v>0.2766545555690767</v>
      </c>
      <c r="E535" s="12">
        <v>15699761</v>
      </c>
      <c r="F535" s="10">
        <f>E535/(E535+I535)</f>
        <v>0.27754808310884893</v>
      </c>
      <c r="G535" s="11">
        <v>41609</v>
      </c>
      <c r="H535" s="10">
        <f t="shared" si="97"/>
        <v>0.7233454444309233</v>
      </c>
      <c r="I535" s="12">
        <v>40866153</v>
      </c>
      <c r="J535" s="10">
        <f>I535/(E535+I535)</f>
        <v>0.72245191689115107</v>
      </c>
    </row>
    <row r="536" spans="1:13">
      <c r="A536" s="3" t="s">
        <v>12</v>
      </c>
      <c r="B536" s="6">
        <f>C536+G536</f>
        <v>10734</v>
      </c>
      <c r="C536" s="7">
        <v>5108</v>
      </c>
      <c r="D536" s="8">
        <f t="shared" si="96"/>
        <v>0.47587106390907397</v>
      </c>
      <c r="E536" s="12">
        <v>105762182</v>
      </c>
      <c r="F536" s="10">
        <f>E536/(E536+I536)</f>
        <v>0.64827186612638343</v>
      </c>
      <c r="G536" s="11">
        <v>5626</v>
      </c>
      <c r="H536" s="10">
        <f t="shared" si="97"/>
        <v>0.52412893609092603</v>
      </c>
      <c r="I536" s="12">
        <v>57382615</v>
      </c>
      <c r="J536" s="10">
        <f>I536/(E536+I536)</f>
        <v>0.35172813387361657</v>
      </c>
    </row>
    <row r="537" spans="1:13">
      <c r="A537" s="3" t="s">
        <v>13</v>
      </c>
      <c r="B537" s="6">
        <f>C537+G537</f>
        <v>351</v>
      </c>
      <c r="C537" s="7">
        <v>302</v>
      </c>
      <c r="D537" s="8">
        <f t="shared" si="96"/>
        <v>0.86039886039886038</v>
      </c>
      <c r="E537" s="12">
        <v>170446149</v>
      </c>
      <c r="F537" s="10">
        <f>E537/(E537+I537)</f>
        <v>0.79402608420410858</v>
      </c>
      <c r="G537" s="11">
        <v>49</v>
      </c>
      <c r="H537" s="10">
        <f t="shared" si="97"/>
        <v>0.1396011396011396</v>
      </c>
      <c r="I537" s="12">
        <v>44214493</v>
      </c>
      <c r="J537" s="10">
        <f>I537/(E537+I537)</f>
        <v>0.20597391579589144</v>
      </c>
    </row>
    <row r="538" spans="1:13">
      <c r="A538" s="3" t="s">
        <v>65</v>
      </c>
      <c r="B538" s="6">
        <f>C538+G538</f>
        <v>5587</v>
      </c>
      <c r="C538" s="7">
        <v>1463</v>
      </c>
      <c r="D538" s="8">
        <f t="shared" si="96"/>
        <v>0.26185788437444069</v>
      </c>
      <c r="E538" s="12">
        <v>1892576</v>
      </c>
      <c r="F538" s="10">
        <f>E538/(E538+I537)</f>
        <v>4.1047415093767942E-2</v>
      </c>
      <c r="G538" s="11">
        <v>4124</v>
      </c>
      <c r="H538" s="10">
        <f t="shared" si="97"/>
        <v>0.73814211562555931</v>
      </c>
      <c r="I538" s="13">
        <v>900913</v>
      </c>
      <c r="J538" s="10">
        <f>I537/(E538+I537)</f>
        <v>0.95895258490623203</v>
      </c>
      <c r="M538" s="14"/>
    </row>
    <row r="539" spans="1:13" ht="15.75">
      <c r="B539" s="15">
        <f>SUM(B534:B538)</f>
        <v>618669</v>
      </c>
      <c r="C539" s="16">
        <f>SUM(C534:C538)</f>
        <v>80580</v>
      </c>
      <c r="D539" s="17">
        <f t="shared" si="96"/>
        <v>0.1302473535929552</v>
      </c>
      <c r="E539" s="18">
        <f>SUM(E534:E538)</f>
        <v>333955757</v>
      </c>
      <c r="F539" s="10">
        <f>E539/(E539+I539)</f>
        <v>0.40400558040463258</v>
      </c>
      <c r="G539" s="18">
        <f>SUM(G534:G538)</f>
        <v>538089</v>
      </c>
      <c r="H539" s="17">
        <f t="shared" si="97"/>
        <v>0.86975264640704475</v>
      </c>
      <c r="I539" s="18">
        <f>SUM(I534:I538)</f>
        <v>492655986</v>
      </c>
      <c r="J539" s="10">
        <f>I539/(E539+I539)</f>
        <v>0.59599441959536736</v>
      </c>
    </row>
    <row r="540" spans="1:13" ht="15.75">
      <c r="A540" s="1" t="s">
        <v>0</v>
      </c>
      <c r="B540" s="3"/>
      <c r="J540" s="3"/>
    </row>
    <row r="541" spans="1:13" ht="15.75">
      <c r="A541" s="1" t="s">
        <v>66</v>
      </c>
      <c r="B541" s="2"/>
      <c r="C541" s="2" t="s">
        <v>2</v>
      </c>
      <c r="D541" s="2"/>
      <c r="E541" s="2"/>
      <c r="F541" s="2"/>
      <c r="G541" s="2" t="s">
        <v>3</v>
      </c>
      <c r="H541" s="2"/>
      <c r="I541" s="2"/>
      <c r="J541" s="2"/>
    </row>
    <row r="542" spans="1:13">
      <c r="B542" s="4" t="s">
        <v>4</v>
      </c>
      <c r="C542" s="4" t="s">
        <v>5</v>
      </c>
      <c r="D542" s="4"/>
      <c r="E542" s="4" t="s">
        <v>6</v>
      </c>
      <c r="F542" s="5"/>
      <c r="G542" s="4" t="s">
        <v>7</v>
      </c>
      <c r="H542" s="5"/>
      <c r="I542" s="5" t="s">
        <v>6</v>
      </c>
      <c r="J542" s="5"/>
    </row>
    <row r="543" spans="1:13">
      <c r="B543" s="4" t="s">
        <v>8</v>
      </c>
      <c r="C543" s="4" t="s">
        <v>8</v>
      </c>
      <c r="D543" s="4" t="s">
        <v>9</v>
      </c>
      <c r="E543" s="4" t="s">
        <v>8</v>
      </c>
      <c r="F543" s="5" t="s">
        <v>9</v>
      </c>
      <c r="G543" s="5" t="s">
        <v>8</v>
      </c>
      <c r="H543" s="5" t="s">
        <v>9</v>
      </c>
      <c r="I543" s="5" t="s">
        <v>8</v>
      </c>
      <c r="J543" s="5" t="s">
        <v>9</v>
      </c>
    </row>
    <row r="544" spans="1:13">
      <c r="B544" s="4"/>
      <c r="C544" s="4"/>
      <c r="D544" s="4"/>
      <c r="E544" s="4"/>
      <c r="F544" s="4"/>
      <c r="G544" s="4"/>
      <c r="H544" s="4"/>
      <c r="I544" s="4"/>
      <c r="J544" s="4"/>
    </row>
    <row r="545" spans="1:13">
      <c r="A545" s="3" t="s">
        <v>10</v>
      </c>
      <c r="B545" s="6">
        <f>C545+G545</f>
        <v>570339</v>
      </c>
      <c r="C545" s="7">
        <v>61365</v>
      </c>
      <c r="D545" s="8">
        <f t="shared" ref="D545:D550" si="98">C545/B545</f>
        <v>0.1075939046777443</v>
      </c>
      <c r="E545" s="12">
        <v>41841673</v>
      </c>
      <c r="F545" s="10">
        <f>E545/(E545+I545)</f>
        <v>0.10584469957882754</v>
      </c>
      <c r="G545" s="11">
        <v>508974</v>
      </c>
      <c r="H545" s="10">
        <f t="shared" ref="H545:H550" si="99">G545/B545</f>
        <v>0.89240609532225568</v>
      </c>
      <c r="I545" s="12">
        <v>353470262</v>
      </c>
      <c r="J545" s="10">
        <f>I545/(E545+I545)</f>
        <v>0.89415530042117242</v>
      </c>
    </row>
    <row r="546" spans="1:13">
      <c r="A546" s="3" t="s">
        <v>11</v>
      </c>
      <c r="B546" s="6">
        <f>C546+G546</f>
        <v>59990</v>
      </c>
      <c r="C546" s="7">
        <v>16563</v>
      </c>
      <c r="D546" s="8">
        <f t="shared" si="98"/>
        <v>0.27609601600266709</v>
      </c>
      <c r="E546" s="12">
        <v>16543514</v>
      </c>
      <c r="F546" s="10">
        <f>E546/(E546+I546)</f>
        <v>0.28337628923812325</v>
      </c>
      <c r="G546" s="11">
        <v>43427</v>
      </c>
      <c r="H546" s="10">
        <f t="shared" si="99"/>
        <v>0.72390398399733291</v>
      </c>
      <c r="I546" s="12">
        <v>41836508</v>
      </c>
      <c r="J546" s="10">
        <f>I546/(E546+I546)</f>
        <v>0.7166237107618767</v>
      </c>
    </row>
    <row r="547" spans="1:13">
      <c r="A547" s="3" t="s">
        <v>12</v>
      </c>
      <c r="B547" s="6">
        <f>C547+G547</f>
        <v>11253</v>
      </c>
      <c r="C547" s="7">
        <v>5265</v>
      </c>
      <c r="D547" s="8">
        <f t="shared" si="98"/>
        <v>0.46787523327112768</v>
      </c>
      <c r="E547" s="12">
        <v>115973203</v>
      </c>
      <c r="F547" s="10">
        <f>E547/(E547+I547)</f>
        <v>0.64695728387955953</v>
      </c>
      <c r="G547" s="11">
        <v>5988</v>
      </c>
      <c r="H547" s="10">
        <f t="shared" si="99"/>
        <v>0.53212476672887232</v>
      </c>
      <c r="I547" s="12">
        <v>63286241</v>
      </c>
      <c r="J547" s="10">
        <f>I547/(E547+I547)</f>
        <v>0.35304271612044047</v>
      </c>
    </row>
    <row r="548" spans="1:13">
      <c r="A548" s="3" t="s">
        <v>13</v>
      </c>
      <c r="B548" s="6">
        <f>C548+G548</f>
        <v>388</v>
      </c>
      <c r="C548" s="7">
        <v>334</v>
      </c>
      <c r="D548" s="8">
        <f t="shared" si="98"/>
        <v>0.86082474226804129</v>
      </c>
      <c r="E548" s="12">
        <v>246420616</v>
      </c>
      <c r="F548" s="10">
        <f>E548/(E548+I548)</f>
        <v>0.9751130112475811</v>
      </c>
      <c r="G548" s="11">
        <v>54</v>
      </c>
      <c r="H548" s="10">
        <f t="shared" si="99"/>
        <v>0.13917525773195877</v>
      </c>
      <c r="I548" s="12">
        <v>6289186</v>
      </c>
      <c r="J548" s="10">
        <f>I548/(E548+I548)</f>
        <v>2.4886988752418873E-2</v>
      </c>
    </row>
    <row r="549" spans="1:13">
      <c r="A549" s="3" t="s">
        <v>65</v>
      </c>
      <c r="B549" s="6">
        <f>C549+G549</f>
        <v>5811</v>
      </c>
      <c r="C549" s="7">
        <v>1521</v>
      </c>
      <c r="D549" s="8">
        <f t="shared" si="98"/>
        <v>0.26174496644295303</v>
      </c>
      <c r="E549" s="12">
        <v>3584672</v>
      </c>
      <c r="F549" s="10">
        <f>E549/(E549+I548)</f>
        <v>0.36304674424120742</v>
      </c>
      <c r="G549" s="11">
        <v>4290</v>
      </c>
      <c r="H549" s="10">
        <f t="shared" si="99"/>
        <v>0.73825503355704702</v>
      </c>
      <c r="I549" s="13">
        <v>1431477</v>
      </c>
      <c r="J549" s="10">
        <f>I548/(E549+I548)</f>
        <v>0.63695325575879258</v>
      </c>
      <c r="M549" s="14"/>
    </row>
    <row r="550" spans="1:13" ht="15.75">
      <c r="B550" s="15">
        <f>SUM(B545:B549)</f>
        <v>647781</v>
      </c>
      <c r="C550" s="16">
        <f>SUM(C545:C549)</f>
        <v>85048</v>
      </c>
      <c r="D550" s="17">
        <f t="shared" si="98"/>
        <v>0.13129128517199484</v>
      </c>
      <c r="E550" s="18">
        <f>SUM(E545:E549)</f>
        <v>424363678</v>
      </c>
      <c r="F550" s="10">
        <f>E550/(E550+I550)</f>
        <v>0.47645050931978788</v>
      </c>
      <c r="G550" s="18">
        <f>SUM(G545:G549)</f>
        <v>562733</v>
      </c>
      <c r="H550" s="17">
        <f t="shared" si="99"/>
        <v>0.86870871482800516</v>
      </c>
      <c r="I550" s="18">
        <f>SUM(I545:I549)</f>
        <v>466313674</v>
      </c>
      <c r="J550" s="10">
        <f>I550/(E550+I550)</f>
        <v>0.52354949068021206</v>
      </c>
    </row>
    <row r="551" spans="1:13" ht="15.75">
      <c r="A551" s="1" t="s">
        <v>0</v>
      </c>
      <c r="B551" s="3"/>
      <c r="J551" s="3"/>
    </row>
    <row r="552" spans="1:13" ht="15.75">
      <c r="A552" s="1" t="s">
        <v>67</v>
      </c>
      <c r="B552" s="2"/>
      <c r="C552" s="2" t="s">
        <v>2</v>
      </c>
      <c r="D552" s="2"/>
      <c r="E552" s="2"/>
      <c r="F552" s="2"/>
      <c r="G552" s="2" t="s">
        <v>3</v>
      </c>
      <c r="H552" s="2"/>
      <c r="I552" s="2"/>
      <c r="J552" s="2"/>
    </row>
    <row r="553" spans="1:13">
      <c r="B553" s="4" t="s">
        <v>4</v>
      </c>
      <c r="C553" s="4" t="s">
        <v>5</v>
      </c>
      <c r="D553" s="4"/>
      <c r="E553" s="4" t="s">
        <v>6</v>
      </c>
      <c r="F553" s="5"/>
      <c r="G553" s="4" t="s">
        <v>7</v>
      </c>
      <c r="H553" s="5"/>
      <c r="I553" s="5" t="s">
        <v>6</v>
      </c>
      <c r="J553" s="5"/>
    </row>
    <row r="554" spans="1:13">
      <c r="B554" s="4" t="s">
        <v>8</v>
      </c>
      <c r="C554" s="4" t="s">
        <v>8</v>
      </c>
      <c r="D554" s="4" t="s">
        <v>9</v>
      </c>
      <c r="E554" s="4" t="s">
        <v>8</v>
      </c>
      <c r="F554" s="5" t="s">
        <v>9</v>
      </c>
      <c r="G554" s="5" t="s">
        <v>8</v>
      </c>
      <c r="H554" s="5" t="s">
        <v>9</v>
      </c>
      <c r="I554" s="5" t="s">
        <v>8</v>
      </c>
      <c r="J554" s="5" t="s">
        <v>9</v>
      </c>
    </row>
    <row r="555" spans="1:13">
      <c r="B555" s="4"/>
      <c r="C555" s="4"/>
      <c r="D555" s="4"/>
      <c r="E555" s="4"/>
      <c r="F555" s="4"/>
      <c r="G555" s="4"/>
      <c r="H555" s="4"/>
      <c r="I555" s="4"/>
      <c r="J555" s="4"/>
    </row>
    <row r="556" spans="1:13">
      <c r="A556" s="3" t="s">
        <v>10</v>
      </c>
      <c r="B556" s="6">
        <f>C556+G556</f>
        <v>517337</v>
      </c>
      <c r="C556" s="7">
        <v>55910</v>
      </c>
      <c r="D556" s="8">
        <f t="shared" ref="D556:D561" si="100">C556/B556</f>
        <v>0.10807268762914696</v>
      </c>
      <c r="E556" s="12">
        <v>29008209</v>
      </c>
      <c r="F556" s="10">
        <f>E556/(E556+I556)</f>
        <v>0.10749348557040421</v>
      </c>
      <c r="G556" s="11">
        <v>461427</v>
      </c>
      <c r="H556" s="10">
        <f t="shared" ref="H556:H561" si="101">G556/B556</f>
        <v>0.89192731237085299</v>
      </c>
      <c r="I556" s="12">
        <v>240851949</v>
      </c>
      <c r="J556" s="10">
        <f>I556/(E556+I556)</f>
        <v>0.89250651442959583</v>
      </c>
    </row>
    <row r="557" spans="1:13">
      <c r="A557" s="3" t="s">
        <v>11</v>
      </c>
      <c r="B557" s="6">
        <f>C557+G557</f>
        <v>54178</v>
      </c>
      <c r="C557" s="7">
        <v>14911</v>
      </c>
      <c r="D557" s="8">
        <f t="shared" si="100"/>
        <v>0.27522241500239952</v>
      </c>
      <c r="E557" s="12">
        <v>11871374</v>
      </c>
      <c r="F557" s="10">
        <f>E557/(E557+I557)</f>
        <v>0.28814148143259594</v>
      </c>
      <c r="G557" s="11">
        <v>39267</v>
      </c>
      <c r="H557" s="10">
        <f t="shared" si="101"/>
        <v>0.72477758499760048</v>
      </c>
      <c r="I557" s="12">
        <v>29328435</v>
      </c>
      <c r="J557" s="10">
        <f>I557/(E557+I557)</f>
        <v>0.71185851856740401</v>
      </c>
    </row>
    <row r="558" spans="1:13">
      <c r="A558" s="3" t="s">
        <v>12</v>
      </c>
      <c r="B558" s="6">
        <f>C558+G558</f>
        <v>10029</v>
      </c>
      <c r="C558" s="7">
        <v>4612</v>
      </c>
      <c r="D558" s="8">
        <f t="shared" si="100"/>
        <v>0.45986638747631869</v>
      </c>
      <c r="E558" s="12">
        <v>85070929</v>
      </c>
      <c r="F558" s="10">
        <f>E558/(E558+I558)</f>
        <v>0.63340397444107732</v>
      </c>
      <c r="G558" s="11">
        <v>5417</v>
      </c>
      <c r="H558" s="10">
        <f t="shared" si="101"/>
        <v>0.54013361252368131</v>
      </c>
      <c r="I558" s="12">
        <v>49236610</v>
      </c>
      <c r="J558" s="10">
        <f>I558/(E558+I558)</f>
        <v>0.36659602555892262</v>
      </c>
    </row>
    <row r="559" spans="1:13">
      <c r="A559" s="3" t="s">
        <v>13</v>
      </c>
      <c r="B559" s="6">
        <f>C559+G559</f>
        <v>337</v>
      </c>
      <c r="C559" s="7">
        <v>288</v>
      </c>
      <c r="D559" s="8">
        <f t="shared" si="100"/>
        <v>0.85459940652818989</v>
      </c>
      <c r="E559" s="12">
        <v>190704235</v>
      </c>
      <c r="F559" s="10">
        <f>E559/(E559+I559)</f>
        <v>0.9787509772537063</v>
      </c>
      <c r="G559" s="11">
        <v>49</v>
      </c>
      <c r="H559" s="10">
        <f t="shared" si="101"/>
        <v>0.14540059347181009</v>
      </c>
      <c r="I559" s="12">
        <v>4140255</v>
      </c>
      <c r="J559" s="10">
        <f>I559/(E559+I559)</f>
        <v>2.1249022746293724E-2</v>
      </c>
    </row>
    <row r="560" spans="1:13">
      <c r="A560" s="3" t="s">
        <v>65</v>
      </c>
      <c r="B560" s="6">
        <f>C560+G560</f>
        <v>4890</v>
      </c>
      <c r="C560" s="7">
        <v>1196</v>
      </c>
      <c r="D560" s="8">
        <f t="shared" si="100"/>
        <v>0.24458077709611453</v>
      </c>
      <c r="E560" s="12">
        <v>315916</v>
      </c>
      <c r="F560" s="10">
        <f>E560/(E560+I559)</f>
        <v>7.0894047827159232E-2</v>
      </c>
      <c r="G560" s="11">
        <v>3694</v>
      </c>
      <c r="H560" s="10">
        <f t="shared" si="101"/>
        <v>0.75541922290388552</v>
      </c>
      <c r="I560" s="13">
        <v>578256</v>
      </c>
      <c r="J560" s="10">
        <f>I559/(E560+I559)</f>
        <v>0.92910595217284075</v>
      </c>
      <c r="M560" s="14"/>
    </row>
    <row r="561" spans="1:13" ht="15.75">
      <c r="B561" s="15">
        <f>SUM(B556:B560)</f>
        <v>586771</v>
      </c>
      <c r="C561" s="16">
        <f>SUM(C556:C560)</f>
        <v>76917</v>
      </c>
      <c r="D561" s="17">
        <f t="shared" si="100"/>
        <v>0.13108521041428428</v>
      </c>
      <c r="E561" s="18">
        <f>SUM(E556:E560)</f>
        <v>316970663</v>
      </c>
      <c r="F561" s="10">
        <f>E561/(E561+I561)</f>
        <v>0.49441212520045508</v>
      </c>
      <c r="G561" s="18">
        <f>SUM(G556:G560)</f>
        <v>509854</v>
      </c>
      <c r="H561" s="17">
        <f t="shared" si="101"/>
        <v>0.86891478958571577</v>
      </c>
      <c r="I561" s="18">
        <f>SUM(I556:I560)</f>
        <v>324135505</v>
      </c>
      <c r="J561" s="10">
        <f>I561/(E561+I561)</f>
        <v>0.50558787479954492</v>
      </c>
    </row>
    <row r="562" spans="1:13" ht="15.75">
      <c r="A562" s="1" t="s">
        <v>0</v>
      </c>
      <c r="B562" s="3"/>
      <c r="J562" s="3"/>
    </row>
    <row r="563" spans="1:13" ht="15.75">
      <c r="A563" s="1" t="s">
        <v>68</v>
      </c>
      <c r="B563" s="2"/>
      <c r="C563" s="2" t="s">
        <v>2</v>
      </c>
      <c r="D563" s="2"/>
      <c r="E563" s="2"/>
      <c r="F563" s="2"/>
      <c r="G563" s="2" t="s">
        <v>3</v>
      </c>
      <c r="H563" s="2"/>
      <c r="I563" s="2"/>
      <c r="J563" s="2"/>
    </row>
    <row r="564" spans="1:13">
      <c r="B564" s="4" t="s">
        <v>4</v>
      </c>
      <c r="C564" s="4" t="s">
        <v>5</v>
      </c>
      <c r="D564" s="4"/>
      <c r="E564" s="4" t="s">
        <v>6</v>
      </c>
      <c r="F564" s="5"/>
      <c r="G564" s="4" t="s">
        <v>7</v>
      </c>
      <c r="H564" s="5"/>
      <c r="I564" s="5" t="s">
        <v>6</v>
      </c>
      <c r="J564" s="5"/>
    </row>
    <row r="565" spans="1:13">
      <c r="B565" s="4" t="s">
        <v>8</v>
      </c>
      <c r="C565" s="4" t="s">
        <v>8</v>
      </c>
      <c r="D565" s="4" t="s">
        <v>9</v>
      </c>
      <c r="E565" s="4" t="s">
        <v>8</v>
      </c>
      <c r="F565" s="5" t="s">
        <v>9</v>
      </c>
      <c r="G565" s="5" t="s">
        <v>8</v>
      </c>
      <c r="H565" s="5" t="s">
        <v>9</v>
      </c>
      <c r="I565" s="5" t="s">
        <v>8</v>
      </c>
      <c r="J565" s="5" t="s">
        <v>9</v>
      </c>
    </row>
    <row r="566" spans="1:13">
      <c r="B566" s="4"/>
      <c r="C566" s="4"/>
      <c r="D566" s="4"/>
      <c r="E566" s="4"/>
      <c r="F566" s="4"/>
      <c r="G566" s="4"/>
      <c r="H566" s="4"/>
      <c r="I566" s="4"/>
      <c r="J566" s="4"/>
    </row>
    <row r="567" spans="1:13">
      <c r="A567" s="3" t="s">
        <v>10</v>
      </c>
      <c r="B567" s="6">
        <f>C567+G567</f>
        <v>568970</v>
      </c>
      <c r="C567" s="7">
        <v>61916</v>
      </c>
      <c r="D567" s="8">
        <f t="shared" ref="D567:D572" si="102">C567/B567</f>
        <v>0.10882120322688367</v>
      </c>
      <c r="E567" s="12">
        <v>31522757</v>
      </c>
      <c r="F567" s="10">
        <f>E567/(E567+I567)</f>
        <v>0.11025881405568637</v>
      </c>
      <c r="G567" s="11">
        <v>507054</v>
      </c>
      <c r="H567" s="10">
        <f t="shared" ref="H567:H572" si="103">G567/B567</f>
        <v>0.89117879677311629</v>
      </c>
      <c r="I567" s="12">
        <v>254375085</v>
      </c>
      <c r="J567" s="10">
        <f>I567/(E567+I567)</f>
        <v>0.88974118594431362</v>
      </c>
    </row>
    <row r="568" spans="1:13">
      <c r="A568" s="3" t="s">
        <v>11</v>
      </c>
      <c r="B568" s="6">
        <f>C568+G568</f>
        <v>59462</v>
      </c>
      <c r="C568" s="7">
        <v>16483</v>
      </c>
      <c r="D568" s="8">
        <f t="shared" si="102"/>
        <v>0.27720224681309069</v>
      </c>
      <c r="E568" s="12">
        <v>13328812</v>
      </c>
      <c r="F568" s="10">
        <f>E568/(E568+I568)</f>
        <v>0.30296078162938467</v>
      </c>
      <c r="G568" s="11">
        <v>42979</v>
      </c>
      <c r="H568" s="10">
        <f t="shared" si="103"/>
        <v>0.72279775318690931</v>
      </c>
      <c r="I568" s="12">
        <v>30666361</v>
      </c>
      <c r="J568" s="10">
        <f>I568/(E568+I568)</f>
        <v>0.69703921837061533</v>
      </c>
    </row>
    <row r="569" spans="1:13">
      <c r="A569" s="3" t="s">
        <v>12</v>
      </c>
      <c r="B569" s="6">
        <f>C569+G569</f>
        <v>11192</v>
      </c>
      <c r="C569" s="7">
        <v>5204</v>
      </c>
      <c r="D569" s="8">
        <f t="shared" si="102"/>
        <v>0.46497498213009292</v>
      </c>
      <c r="E569" s="12">
        <v>100557386</v>
      </c>
      <c r="F569" s="10">
        <f>E569/(E569+I569)</f>
        <v>0.61688113842901438</v>
      </c>
      <c r="G569" s="11">
        <v>5988</v>
      </c>
      <c r="H569" s="10">
        <f t="shared" si="103"/>
        <v>0.53502501786990708</v>
      </c>
      <c r="I569" s="12">
        <v>62451952</v>
      </c>
      <c r="J569" s="10">
        <f>I569/(E569+I569)</f>
        <v>0.38311886157098557</v>
      </c>
    </row>
    <row r="570" spans="1:13">
      <c r="A570" s="3" t="s">
        <v>13</v>
      </c>
      <c r="B570" s="6">
        <f>C570+G570</f>
        <v>392</v>
      </c>
      <c r="C570" s="7">
        <v>338</v>
      </c>
      <c r="D570" s="8">
        <f t="shared" si="102"/>
        <v>0.86224489795918369</v>
      </c>
      <c r="E570" s="12">
        <v>211598515</v>
      </c>
      <c r="F570" s="10">
        <f>E570/(E570+I570)</f>
        <v>0.97704801147424425</v>
      </c>
      <c r="G570" s="11">
        <v>54</v>
      </c>
      <c r="H570" s="10">
        <f t="shared" si="103"/>
        <v>0.13775510204081631</v>
      </c>
      <c r="I570" s="12">
        <v>4970694</v>
      </c>
      <c r="J570" s="10">
        <f>I570/(E570+I570)</f>
        <v>2.2951988525755754E-2</v>
      </c>
    </row>
    <row r="571" spans="1:13">
      <c r="A571" s="3" t="s">
        <v>65</v>
      </c>
      <c r="B571" s="6">
        <f>C571+G571</f>
        <v>5797</v>
      </c>
      <c r="C571" s="7">
        <v>1493</v>
      </c>
      <c r="D571" s="8">
        <f t="shared" si="102"/>
        <v>0.25754700707262379</v>
      </c>
      <c r="E571" s="12">
        <v>1748647</v>
      </c>
      <c r="F571" s="10">
        <f>E571/(E571+I570)</f>
        <v>0.26024084802363801</v>
      </c>
      <c r="G571" s="11">
        <v>4304</v>
      </c>
      <c r="H571" s="10">
        <f t="shared" si="103"/>
        <v>0.74245299292737621</v>
      </c>
      <c r="I571" s="13">
        <v>909004</v>
      </c>
      <c r="J571" s="10">
        <f>I570/(E571+I570)</f>
        <v>0.73975915197636199</v>
      </c>
      <c r="M571" s="14"/>
    </row>
    <row r="572" spans="1:13" ht="15.75">
      <c r="B572" s="15">
        <f>SUM(B567:B571)</f>
        <v>645813</v>
      </c>
      <c r="C572" s="16">
        <f>SUM(C567:C571)</f>
        <v>85434</v>
      </c>
      <c r="D572" s="17">
        <f t="shared" si="102"/>
        <v>0.13228906819776004</v>
      </c>
      <c r="E572" s="18">
        <f>SUM(E567:E571)</f>
        <v>358756117</v>
      </c>
      <c r="F572" s="10">
        <f>E572/(E572+I572)</f>
        <v>0.5037795254721561</v>
      </c>
      <c r="G572" s="18">
        <f>SUM(G567:G571)</f>
        <v>560379</v>
      </c>
      <c r="H572" s="17">
        <f t="shared" si="103"/>
        <v>0.86771093180224002</v>
      </c>
      <c r="I572" s="18">
        <f>SUM(I567:I571)</f>
        <v>353373096</v>
      </c>
      <c r="J572" s="10">
        <f>I572/(E572+I572)</f>
        <v>0.49622047452784385</v>
      </c>
    </row>
    <row r="573" spans="1:13" ht="15.75">
      <c r="A573" s="1" t="s">
        <v>0</v>
      </c>
      <c r="B573" s="3"/>
      <c r="J573" s="3"/>
    </row>
    <row r="574" spans="1:13" ht="15.75">
      <c r="A574" s="1" t="s">
        <v>69</v>
      </c>
      <c r="B574" s="2"/>
      <c r="C574" s="2" t="s">
        <v>2</v>
      </c>
      <c r="D574" s="2"/>
      <c r="E574" s="2"/>
      <c r="F574" s="2"/>
      <c r="G574" s="2" t="s">
        <v>3</v>
      </c>
      <c r="H574" s="2"/>
      <c r="I574" s="2"/>
      <c r="J574" s="2"/>
    </row>
    <row r="575" spans="1:13">
      <c r="B575" s="4" t="s">
        <v>4</v>
      </c>
      <c r="C575" s="4" t="s">
        <v>5</v>
      </c>
      <c r="D575" s="4"/>
      <c r="E575" s="4" t="s">
        <v>6</v>
      </c>
      <c r="F575" s="5"/>
      <c r="G575" s="4" t="s">
        <v>7</v>
      </c>
      <c r="H575" s="5"/>
      <c r="I575" s="5" t="s">
        <v>6</v>
      </c>
      <c r="J575" s="5"/>
    </row>
    <row r="576" spans="1:13">
      <c r="B576" s="4" t="s">
        <v>8</v>
      </c>
      <c r="C576" s="4" t="s">
        <v>8</v>
      </c>
      <c r="D576" s="4" t="s">
        <v>9</v>
      </c>
      <c r="E576" s="4" t="s">
        <v>8</v>
      </c>
      <c r="F576" s="5" t="s">
        <v>9</v>
      </c>
      <c r="G576" s="5" t="s">
        <v>8</v>
      </c>
      <c r="H576" s="5" t="s">
        <v>9</v>
      </c>
      <c r="I576" s="5" t="s">
        <v>8</v>
      </c>
      <c r="J576" s="5" t="s">
        <v>9</v>
      </c>
    </row>
    <row r="577" spans="1:13">
      <c r="B577" s="4"/>
      <c r="C577" s="4"/>
      <c r="D577" s="4"/>
      <c r="E577" s="4"/>
      <c r="F577" s="4"/>
      <c r="G577" s="4"/>
      <c r="H577" s="4"/>
      <c r="I577" s="4"/>
      <c r="J577" s="4"/>
    </row>
    <row r="578" spans="1:13">
      <c r="A578" s="3" t="s">
        <v>10</v>
      </c>
      <c r="B578" s="6">
        <f>C578+G578</f>
        <v>567253</v>
      </c>
      <c r="C578" s="7">
        <v>61891</v>
      </c>
      <c r="D578" s="8">
        <f t="shared" ref="D578:D583" si="104">C578/B578</f>
        <v>0.10910651860809903</v>
      </c>
      <c r="E578" s="12">
        <v>34751462</v>
      </c>
      <c r="F578" s="10">
        <f>E578/(E578+I578)</f>
        <v>0.11156926211409579</v>
      </c>
      <c r="G578" s="11">
        <v>505362</v>
      </c>
      <c r="H578" s="10">
        <f t="shared" ref="H578:H583" si="105">G578/B578</f>
        <v>0.89089348139190094</v>
      </c>
      <c r="I578" s="12">
        <v>276727357</v>
      </c>
      <c r="J578" s="10">
        <f>I578/(E578+I578)</f>
        <v>0.88843073788590421</v>
      </c>
    </row>
    <row r="579" spans="1:13">
      <c r="A579" s="3" t="s">
        <v>11</v>
      </c>
      <c r="B579" s="6">
        <f>C579+G579</f>
        <v>59050</v>
      </c>
      <c r="C579" s="7">
        <v>16430</v>
      </c>
      <c r="D579" s="8">
        <f t="shared" si="104"/>
        <v>0.27823878069432684</v>
      </c>
      <c r="E579" s="12">
        <v>14002874</v>
      </c>
      <c r="F579" s="10">
        <f>E579/(E579+I579)</f>
        <v>0.27454606655058106</v>
      </c>
      <c r="G579" s="11">
        <v>42620</v>
      </c>
      <c r="H579" s="10">
        <f t="shared" si="105"/>
        <v>0.72176121930567316</v>
      </c>
      <c r="I579" s="12">
        <v>37000858</v>
      </c>
      <c r="J579" s="10">
        <f>I579/(E579+I579)</f>
        <v>0.725453933449419</v>
      </c>
    </row>
    <row r="580" spans="1:13">
      <c r="A580" s="3" t="s">
        <v>12</v>
      </c>
      <c r="B580" s="6">
        <f>C580+G580</f>
        <v>11146</v>
      </c>
      <c r="C580" s="7">
        <v>5164</v>
      </c>
      <c r="D580" s="8">
        <f t="shared" si="104"/>
        <v>0.46330522160416293</v>
      </c>
      <c r="E580" s="12">
        <v>102214542</v>
      </c>
      <c r="F580" s="10">
        <f>E580/(E580+I580)</f>
        <v>0.61548028704421531</v>
      </c>
      <c r="G580" s="11">
        <v>5982</v>
      </c>
      <c r="H580" s="10">
        <f t="shared" si="105"/>
        <v>0.53669477839583712</v>
      </c>
      <c r="I580" s="12">
        <v>63858270</v>
      </c>
      <c r="J580" s="10">
        <f>I580/(E580+I580)</f>
        <v>0.38451971295578474</v>
      </c>
    </row>
    <row r="581" spans="1:13">
      <c r="A581" s="3" t="s">
        <v>13</v>
      </c>
      <c r="B581" s="6">
        <f>C581+G581</f>
        <v>397</v>
      </c>
      <c r="C581" s="7">
        <v>341</v>
      </c>
      <c r="D581" s="8">
        <f t="shared" si="104"/>
        <v>0.8589420654911839</v>
      </c>
      <c r="E581" s="12">
        <v>225060745</v>
      </c>
      <c r="F581" s="10">
        <f>E581/(E581+I581)</f>
        <v>0.9759013481044283</v>
      </c>
      <c r="G581" s="11">
        <v>56</v>
      </c>
      <c r="H581" s="10">
        <f t="shared" si="105"/>
        <v>0.14105793450881612</v>
      </c>
      <c r="I581" s="12">
        <v>5557591</v>
      </c>
      <c r="J581" s="10">
        <f>I581/(E581+I581)</f>
        <v>2.4098651895571737E-2</v>
      </c>
    </row>
    <row r="582" spans="1:13">
      <c r="A582" s="3" t="s">
        <v>65</v>
      </c>
      <c r="B582" s="6">
        <f>C582+G582</f>
        <v>5787</v>
      </c>
      <c r="C582" s="7">
        <v>1475</v>
      </c>
      <c r="D582" s="8">
        <f t="shared" si="104"/>
        <v>0.25488163124243995</v>
      </c>
      <c r="E582" s="12">
        <v>1611753</v>
      </c>
      <c r="F582" s="10">
        <f>E582/(E582+I581)</f>
        <v>0.22481178194267146</v>
      </c>
      <c r="G582" s="11">
        <v>4312</v>
      </c>
      <c r="H582" s="10">
        <f t="shared" si="105"/>
        <v>0.7451183687575601</v>
      </c>
      <c r="I582" s="13">
        <v>803570</v>
      </c>
      <c r="J582" s="10">
        <f>I581/(E582+I581)</f>
        <v>0.77518821805732852</v>
      </c>
      <c r="M582" s="14"/>
    </row>
    <row r="583" spans="1:13" ht="15.75">
      <c r="B583" s="15">
        <f>SUM(B578:B582)</f>
        <v>643633</v>
      </c>
      <c r="C583" s="16">
        <f>SUM(C578:C582)</f>
        <v>85301</v>
      </c>
      <c r="D583" s="17">
        <f t="shared" si="104"/>
        <v>0.13253049486275564</v>
      </c>
      <c r="E583" s="18">
        <f>SUM(E578:E582)</f>
        <v>377641376</v>
      </c>
      <c r="F583" s="10">
        <f>E583/(E583+I583)</f>
        <v>0.49585979457566287</v>
      </c>
      <c r="G583" s="18">
        <f>SUM(G578:G582)</f>
        <v>558332</v>
      </c>
      <c r="H583" s="17">
        <f t="shared" si="105"/>
        <v>0.86746950513724441</v>
      </c>
      <c r="I583" s="18">
        <f>SUM(I578:I582)</f>
        <v>383947646</v>
      </c>
      <c r="J583" s="10">
        <f>I583/(E583+I583)</f>
        <v>0.50414020542433713</v>
      </c>
    </row>
    <row r="584" spans="1:13" ht="15.75">
      <c r="A584" s="1" t="s">
        <v>0</v>
      </c>
      <c r="B584" s="3"/>
      <c r="J584" s="3"/>
    </row>
    <row r="585" spans="1:13" ht="15.75">
      <c r="A585" s="1" t="s">
        <v>70</v>
      </c>
      <c r="B585" s="2"/>
      <c r="C585" s="2" t="s">
        <v>2</v>
      </c>
      <c r="D585" s="2"/>
      <c r="E585" s="2"/>
      <c r="F585" s="2"/>
      <c r="G585" s="2" t="s">
        <v>3</v>
      </c>
      <c r="H585" s="2"/>
      <c r="I585" s="2"/>
      <c r="J585" s="2"/>
    </row>
    <row r="586" spans="1:13">
      <c r="B586" s="4" t="s">
        <v>4</v>
      </c>
      <c r="C586" s="4" t="s">
        <v>5</v>
      </c>
      <c r="D586" s="4"/>
      <c r="E586" s="4" t="s">
        <v>6</v>
      </c>
      <c r="F586" s="5"/>
      <c r="G586" s="4" t="s">
        <v>7</v>
      </c>
      <c r="H586" s="5"/>
      <c r="I586" s="5" t="s">
        <v>6</v>
      </c>
      <c r="J586" s="5"/>
    </row>
    <row r="587" spans="1:13">
      <c r="B587" s="4" t="s">
        <v>8</v>
      </c>
      <c r="C587" s="4" t="s">
        <v>8</v>
      </c>
      <c r="D587" s="4" t="s">
        <v>9</v>
      </c>
      <c r="E587" s="4" t="s">
        <v>8</v>
      </c>
      <c r="F587" s="5" t="s">
        <v>9</v>
      </c>
      <c r="G587" s="5" t="s">
        <v>8</v>
      </c>
      <c r="H587" s="5" t="s">
        <v>9</v>
      </c>
      <c r="I587" s="5" t="s">
        <v>8</v>
      </c>
      <c r="J587" s="5" t="s">
        <v>9</v>
      </c>
    </row>
    <row r="588" spans="1:13">
      <c r="B588" s="4"/>
      <c r="C588" s="4"/>
      <c r="D588" s="4"/>
      <c r="E588" s="4"/>
      <c r="F588" s="4"/>
      <c r="G588" s="4"/>
      <c r="H588" s="4"/>
      <c r="I588" s="4"/>
      <c r="J588" s="4"/>
    </row>
    <row r="589" spans="1:13">
      <c r="A589" s="3" t="s">
        <v>10</v>
      </c>
      <c r="B589" s="6">
        <f>C589+G589</f>
        <v>567317</v>
      </c>
      <c r="C589" s="7">
        <v>62297</v>
      </c>
      <c r="D589" s="8">
        <f t="shared" ref="D589:D594" si="106">C589/B589</f>
        <v>0.10980985939078151</v>
      </c>
      <c r="E589" s="12">
        <v>45139398</v>
      </c>
      <c r="F589" s="10">
        <f>E589/(E589+I589)</f>
        <v>0.11349821353717482</v>
      </c>
      <c r="G589" s="11">
        <v>505020</v>
      </c>
      <c r="H589" s="10">
        <f t="shared" ref="H589:H594" si="107">G589/B589</f>
        <v>0.89019014060921853</v>
      </c>
      <c r="I589" s="12">
        <v>352570809</v>
      </c>
      <c r="J589" s="10">
        <f>I589/(E589+I589)</f>
        <v>0.88650178646282518</v>
      </c>
    </row>
    <row r="590" spans="1:13">
      <c r="A590" s="3" t="s">
        <v>11</v>
      </c>
      <c r="B590" s="6">
        <f>C590+G590</f>
        <v>58978</v>
      </c>
      <c r="C590" s="7">
        <v>16490</v>
      </c>
      <c r="D590" s="8">
        <f t="shared" si="106"/>
        <v>0.2795957814778392</v>
      </c>
      <c r="E590" s="12">
        <v>15935159</v>
      </c>
      <c r="F590" s="10">
        <f>E590/(E590+I590)</f>
        <v>0.26860742741093663</v>
      </c>
      <c r="G590" s="11">
        <v>42488</v>
      </c>
      <c r="H590" s="10">
        <f t="shared" si="107"/>
        <v>0.72040421852216086</v>
      </c>
      <c r="I590" s="12">
        <v>43389928</v>
      </c>
      <c r="J590" s="10">
        <f>I590/(E590+I590)</f>
        <v>0.73139257258906343</v>
      </c>
    </row>
    <row r="591" spans="1:13">
      <c r="A591" s="3" t="s">
        <v>12</v>
      </c>
      <c r="B591" s="6">
        <f>C591+G591</f>
        <v>11315</v>
      </c>
      <c r="C591" s="7">
        <v>5300</v>
      </c>
      <c r="D591" s="8">
        <f t="shared" si="106"/>
        <v>0.46840477242598322</v>
      </c>
      <c r="E591" s="12">
        <v>116841331</v>
      </c>
      <c r="F591" s="10">
        <f>E591/(E591+I591)</f>
        <v>0.61628423072047378</v>
      </c>
      <c r="G591" s="11">
        <v>6015</v>
      </c>
      <c r="H591" s="10">
        <f t="shared" si="107"/>
        <v>0.53159522757401678</v>
      </c>
      <c r="I591" s="12">
        <v>72748675</v>
      </c>
      <c r="J591" s="10">
        <f>I591/(E591+I591)</f>
        <v>0.38371576927952628</v>
      </c>
    </row>
    <row r="592" spans="1:13">
      <c r="A592" s="3" t="s">
        <v>13</v>
      </c>
      <c r="B592" s="6">
        <f>C592+G592</f>
        <v>388</v>
      </c>
      <c r="C592" s="7">
        <v>334</v>
      </c>
      <c r="D592" s="8">
        <f t="shared" si="106"/>
        <v>0.86082474226804129</v>
      </c>
      <c r="E592" s="12">
        <v>220926199</v>
      </c>
      <c r="F592" s="10">
        <f>E592/(E592+I592)</f>
        <v>0.97423481397979617</v>
      </c>
      <c r="G592" s="11">
        <v>54</v>
      </c>
      <c r="H592" s="10">
        <f t="shared" si="107"/>
        <v>0.13917525773195877</v>
      </c>
      <c r="I592" s="12">
        <v>5842744</v>
      </c>
      <c r="J592" s="10">
        <f>I592/(E592+I592)</f>
        <v>2.5765186020203834E-2</v>
      </c>
    </row>
    <row r="593" spans="1:13">
      <c r="A593" s="3" t="s">
        <v>65</v>
      </c>
      <c r="B593" s="6">
        <f>C593+G593</f>
        <v>5785</v>
      </c>
      <c r="C593" s="7">
        <v>1491</v>
      </c>
      <c r="D593" s="8">
        <f t="shared" si="106"/>
        <v>0.25773552290406221</v>
      </c>
      <c r="E593" s="12">
        <v>1355526</v>
      </c>
      <c r="F593" s="10">
        <f>E593/(E593+I592)</f>
        <v>0.18831274736846493</v>
      </c>
      <c r="G593" s="11">
        <v>4294</v>
      </c>
      <c r="H593" s="10">
        <f t="shared" si="107"/>
        <v>0.74226447709593779</v>
      </c>
      <c r="I593" s="13">
        <v>681668</v>
      </c>
      <c r="J593" s="10">
        <f>I592/(E593+I592)</f>
        <v>0.81168725263153507</v>
      </c>
      <c r="M593" s="14"/>
    </row>
    <row r="594" spans="1:13" ht="15.75">
      <c r="B594" s="15">
        <f>SUM(B589:B593)</f>
        <v>643783</v>
      </c>
      <c r="C594" s="16">
        <f>SUM(C589:C593)</f>
        <v>85912</v>
      </c>
      <c r="D594" s="17">
        <f t="shared" si="106"/>
        <v>0.13344869311553736</v>
      </c>
      <c r="E594" s="18">
        <f>SUM(E589:E593)</f>
        <v>400197613</v>
      </c>
      <c r="F594" s="10">
        <f>E594/(E594+I594)</f>
        <v>0.45714329653436925</v>
      </c>
      <c r="G594" s="18">
        <f>SUM(G589:G593)</f>
        <v>557871</v>
      </c>
      <c r="H594" s="17">
        <f t="shared" si="107"/>
        <v>0.86655130688446258</v>
      </c>
      <c r="I594" s="18">
        <f>SUM(I589:I593)</f>
        <v>475233824</v>
      </c>
      <c r="J594" s="10">
        <f>I594/(E594+I594)</f>
        <v>0.54285670346563075</v>
      </c>
    </row>
    <row r="595" spans="1:13" ht="15.75">
      <c r="A595" s="1" t="s">
        <v>0</v>
      </c>
      <c r="B595" s="3"/>
      <c r="J595" s="3"/>
    </row>
    <row r="596" spans="1:13" ht="15.75">
      <c r="A596" s="1" t="s">
        <v>71</v>
      </c>
      <c r="B596" s="2"/>
      <c r="C596" s="2" t="s">
        <v>2</v>
      </c>
      <c r="D596" s="2"/>
      <c r="E596" s="2"/>
      <c r="F596" s="2"/>
      <c r="G596" s="2" t="s">
        <v>3</v>
      </c>
      <c r="H596" s="2"/>
      <c r="I596" s="2"/>
      <c r="J596" s="2"/>
    </row>
    <row r="597" spans="1:13">
      <c r="B597" s="4" t="s">
        <v>4</v>
      </c>
      <c r="C597" s="4" t="s">
        <v>5</v>
      </c>
      <c r="D597" s="4"/>
      <c r="E597" s="4" t="s">
        <v>6</v>
      </c>
      <c r="F597" s="5"/>
      <c r="G597" s="4" t="s">
        <v>7</v>
      </c>
      <c r="H597" s="5"/>
      <c r="I597" s="5" t="s">
        <v>6</v>
      </c>
      <c r="J597" s="5"/>
    </row>
    <row r="598" spans="1:13">
      <c r="B598" s="4" t="s">
        <v>8</v>
      </c>
      <c r="C598" s="4" t="s">
        <v>8</v>
      </c>
      <c r="D598" s="4" t="s">
        <v>9</v>
      </c>
      <c r="E598" s="4" t="s">
        <v>8</v>
      </c>
      <c r="F598" s="5" t="s">
        <v>9</v>
      </c>
      <c r="G598" s="5" t="s">
        <v>8</v>
      </c>
      <c r="H598" s="5" t="s">
        <v>9</v>
      </c>
      <c r="I598" s="5" t="s">
        <v>8</v>
      </c>
      <c r="J598" s="5" t="s">
        <v>9</v>
      </c>
    </row>
    <row r="599" spans="1:13">
      <c r="B599" s="4"/>
      <c r="C599" s="4"/>
      <c r="D599" s="4"/>
      <c r="E599" s="4"/>
      <c r="F599" s="4"/>
      <c r="G599" s="4"/>
      <c r="H599" s="4"/>
      <c r="I599" s="4"/>
      <c r="J599" s="4"/>
    </row>
    <row r="600" spans="1:13">
      <c r="A600" s="3" t="s">
        <v>10</v>
      </c>
      <c r="B600" s="6">
        <f>C600+G600</f>
        <v>567860</v>
      </c>
      <c r="C600" s="7">
        <v>62904</v>
      </c>
      <c r="D600" s="8">
        <f t="shared" ref="D600:D605" si="108">C600/B600</f>
        <v>0.11077378227027788</v>
      </c>
      <c r="E600" s="12">
        <v>41885804</v>
      </c>
      <c r="F600" s="10">
        <f>E600/(E600+I600)</f>
        <v>0.11521119740793342</v>
      </c>
      <c r="G600" s="11">
        <v>504956</v>
      </c>
      <c r="H600" s="10">
        <f t="shared" ref="H600:H605" si="109">G600/B600</f>
        <v>0.8892262177297221</v>
      </c>
      <c r="I600" s="12">
        <v>321670907</v>
      </c>
      <c r="J600" s="10">
        <f>I600/(E600+I600)</f>
        <v>0.8847888025920666</v>
      </c>
    </row>
    <row r="601" spans="1:13">
      <c r="A601" s="3" t="s">
        <v>11</v>
      </c>
      <c r="B601" s="6">
        <f>C601+G601</f>
        <v>58926</v>
      </c>
      <c r="C601" s="7">
        <v>16516</v>
      </c>
      <c r="D601" s="8">
        <f t="shared" si="108"/>
        <v>0.28028374571496451</v>
      </c>
      <c r="E601" s="12">
        <v>15244051</v>
      </c>
      <c r="F601" s="10">
        <f>E601/(E601+I601)</f>
        <v>0.27619544404057872</v>
      </c>
      <c r="G601" s="11">
        <v>42410</v>
      </c>
      <c r="H601" s="10">
        <f t="shared" si="109"/>
        <v>0.71971625428503549</v>
      </c>
      <c r="I601" s="12">
        <v>39948934</v>
      </c>
      <c r="J601" s="10">
        <f>I601/(E601+I601)</f>
        <v>0.72380455595942128</v>
      </c>
    </row>
    <row r="602" spans="1:13">
      <c r="A602" s="3" t="s">
        <v>12</v>
      </c>
      <c r="B602" s="6">
        <f>C602+G602</f>
        <v>11378</v>
      </c>
      <c r="C602" s="7">
        <v>5338</v>
      </c>
      <c r="D602" s="8">
        <f t="shared" si="108"/>
        <v>0.46915099314466513</v>
      </c>
      <c r="E602" s="12">
        <v>113070510</v>
      </c>
      <c r="F602" s="10">
        <f>E602/(E602+I602)</f>
        <v>0.62401583910289671</v>
      </c>
      <c r="G602" s="11">
        <v>6040</v>
      </c>
      <c r="H602" s="10">
        <f t="shared" si="109"/>
        <v>0.53084900685533487</v>
      </c>
      <c r="I602" s="12">
        <v>68127631</v>
      </c>
      <c r="J602" s="10">
        <f>I602/(E602+I602)</f>
        <v>0.37598416089710324</v>
      </c>
    </row>
    <row r="603" spans="1:13">
      <c r="A603" s="3" t="s">
        <v>13</v>
      </c>
      <c r="B603" s="6">
        <f>C603+G603</f>
        <v>377</v>
      </c>
      <c r="C603" s="7">
        <v>326</v>
      </c>
      <c r="D603" s="8">
        <f t="shared" si="108"/>
        <v>0.86472148541114058</v>
      </c>
      <c r="E603" s="12">
        <v>165251368</v>
      </c>
      <c r="F603" s="10">
        <f>E603/(E603+I603)</f>
        <v>0.96457278123523915</v>
      </c>
      <c r="G603" s="11">
        <v>51</v>
      </c>
      <c r="H603" s="10">
        <f t="shared" si="109"/>
        <v>0.13527851458885942</v>
      </c>
      <c r="I603" s="12">
        <v>6069419</v>
      </c>
      <c r="J603" s="10">
        <f>I603/(E603+I603)</f>
        <v>3.5427218764760869E-2</v>
      </c>
    </row>
    <row r="604" spans="1:13">
      <c r="A604" s="3" t="s">
        <v>65</v>
      </c>
      <c r="B604" s="6">
        <f>C604+G604</f>
        <v>5803</v>
      </c>
      <c r="C604" s="7">
        <v>1504</v>
      </c>
      <c r="D604" s="8">
        <f t="shared" si="108"/>
        <v>0.25917628812683097</v>
      </c>
      <c r="E604" s="12">
        <v>1347708</v>
      </c>
      <c r="F604" s="10">
        <f>E604/(E604+I603)</f>
        <v>0.1817021604187174</v>
      </c>
      <c r="G604" s="11">
        <v>4299</v>
      </c>
      <c r="H604" s="10">
        <f t="shared" si="109"/>
        <v>0.74082371187316909</v>
      </c>
      <c r="I604" s="13">
        <v>655989</v>
      </c>
      <c r="J604" s="10">
        <f>I603/(E604+I603)</f>
        <v>0.81829783958128266</v>
      </c>
      <c r="M604" s="14"/>
    </row>
    <row r="605" spans="1:13" ht="15.75">
      <c r="B605" s="15">
        <f>SUM(B600:B604)</f>
        <v>644344</v>
      </c>
      <c r="C605" s="16">
        <f>SUM(C600:C604)</f>
        <v>86588</v>
      </c>
      <c r="D605" s="17">
        <f t="shared" si="108"/>
        <v>0.13438163465478067</v>
      </c>
      <c r="E605" s="18">
        <f>SUM(E600:E604)</f>
        <v>336799441</v>
      </c>
      <c r="F605" s="10">
        <f>E605/(E605+I605)</f>
        <v>0.43555088143391596</v>
      </c>
      <c r="G605" s="18">
        <f>SUM(G600:G604)</f>
        <v>557756</v>
      </c>
      <c r="H605" s="17">
        <f t="shared" si="109"/>
        <v>0.8656183653452193</v>
      </c>
      <c r="I605" s="18">
        <f>SUM(I600:I604)</f>
        <v>436472880</v>
      </c>
      <c r="J605" s="10">
        <f>I605/(E605+I605)</f>
        <v>0.56444911856608404</v>
      </c>
    </row>
    <row r="606" spans="1:13" ht="15.75">
      <c r="A606" s="1" t="s">
        <v>0</v>
      </c>
      <c r="B606" s="3"/>
      <c r="J606" s="3"/>
    </row>
    <row r="607" spans="1:13" ht="15.75">
      <c r="A607" s="1" t="s">
        <v>72</v>
      </c>
      <c r="B607" s="2"/>
      <c r="C607" s="2" t="s">
        <v>2</v>
      </c>
      <c r="D607" s="2"/>
      <c r="E607" s="2"/>
      <c r="F607" s="2"/>
      <c r="G607" s="2" t="s">
        <v>3</v>
      </c>
      <c r="H607" s="2"/>
      <c r="I607" s="2"/>
      <c r="J607" s="2"/>
    </row>
    <row r="608" spans="1:13">
      <c r="B608" s="4" t="s">
        <v>4</v>
      </c>
      <c r="C608" s="4" t="s">
        <v>5</v>
      </c>
      <c r="D608" s="4"/>
      <c r="E608" s="4" t="s">
        <v>6</v>
      </c>
      <c r="F608" s="5"/>
      <c r="G608" s="4" t="s">
        <v>7</v>
      </c>
      <c r="H608" s="5"/>
      <c r="I608" s="5" t="s">
        <v>6</v>
      </c>
      <c r="J608" s="5"/>
    </row>
    <row r="609" spans="1:13">
      <c r="B609" s="4" t="s">
        <v>8</v>
      </c>
      <c r="C609" s="4" t="s">
        <v>8</v>
      </c>
      <c r="D609" s="4" t="s">
        <v>9</v>
      </c>
      <c r="E609" s="4" t="s">
        <v>8</v>
      </c>
      <c r="F609" s="5" t="s">
        <v>9</v>
      </c>
      <c r="G609" s="5" t="s">
        <v>8</v>
      </c>
      <c r="H609" s="5" t="s">
        <v>9</v>
      </c>
      <c r="I609" s="5" t="s">
        <v>8</v>
      </c>
      <c r="J609" s="5" t="s">
        <v>9</v>
      </c>
    </row>
    <row r="610" spans="1:13">
      <c r="B610" s="4"/>
      <c r="C610" s="4"/>
      <c r="D610" s="4"/>
      <c r="E610" s="4"/>
      <c r="F610" s="4"/>
      <c r="G610" s="4"/>
      <c r="H610" s="4"/>
      <c r="I610" s="4"/>
      <c r="J610" s="4"/>
    </row>
    <row r="611" spans="1:13">
      <c r="A611" s="3" t="s">
        <v>10</v>
      </c>
      <c r="B611" s="6">
        <f>C611+G611</f>
        <v>567710</v>
      </c>
      <c r="C611" s="7">
        <v>62442</v>
      </c>
      <c r="D611" s="8">
        <f t="shared" ref="D611:D616" si="110">C611/B611</f>
        <v>0.10998925507741629</v>
      </c>
      <c r="E611" s="12">
        <v>33682672</v>
      </c>
      <c r="F611" s="10">
        <f>E611/(E611+I611)</f>
        <v>0.11429664044144648</v>
      </c>
      <c r="G611" s="11">
        <v>505268</v>
      </c>
      <c r="H611" s="10">
        <f t="shared" ref="H611:H616" si="111">G611/B611</f>
        <v>0.8900107449225837</v>
      </c>
      <c r="I611" s="12">
        <v>261012534</v>
      </c>
      <c r="J611" s="10">
        <f>I611/(E611+I611)</f>
        <v>0.8857033595585535</v>
      </c>
    </row>
    <row r="612" spans="1:13">
      <c r="A612" s="3" t="s">
        <v>11</v>
      </c>
      <c r="B612" s="6">
        <f>C612+G612</f>
        <v>58788</v>
      </c>
      <c r="C612" s="7">
        <v>16500</v>
      </c>
      <c r="D612" s="8">
        <f t="shared" si="110"/>
        <v>0.28066952439273324</v>
      </c>
      <c r="E612" s="12">
        <v>13003620</v>
      </c>
      <c r="F612" s="10">
        <f>E612/(E612+I612)</f>
        <v>0.28915909881124652</v>
      </c>
      <c r="G612" s="11">
        <v>42288</v>
      </c>
      <c r="H612" s="10">
        <f t="shared" si="111"/>
        <v>0.71933047560726682</v>
      </c>
      <c r="I612" s="12">
        <v>31966848</v>
      </c>
      <c r="J612" s="10">
        <f>I612/(E612+I612)</f>
        <v>0.71084090118875343</v>
      </c>
    </row>
    <row r="613" spans="1:13">
      <c r="A613" s="3" t="s">
        <v>12</v>
      </c>
      <c r="B613" s="6">
        <f>C613+G613</f>
        <v>11361</v>
      </c>
      <c r="C613" s="7">
        <v>5349</v>
      </c>
      <c r="D613" s="8">
        <f t="shared" si="110"/>
        <v>0.47082123052548192</v>
      </c>
      <c r="E613" s="12">
        <v>96270810</v>
      </c>
      <c r="F613" s="10">
        <f>E613/(E613+I613)</f>
        <v>0.63685190221934773</v>
      </c>
      <c r="G613" s="11">
        <v>6012</v>
      </c>
      <c r="H613" s="10">
        <f t="shared" si="111"/>
        <v>0.52917876947451814</v>
      </c>
      <c r="I613" s="12">
        <v>54895905</v>
      </c>
      <c r="J613" s="10">
        <f>I613/(E613+I613)</f>
        <v>0.36314809778065232</v>
      </c>
    </row>
    <row r="614" spans="1:13">
      <c r="A614" s="3" t="s">
        <v>13</v>
      </c>
      <c r="B614" s="6">
        <f>C614+G614</f>
        <v>404</v>
      </c>
      <c r="C614" s="7">
        <v>348</v>
      </c>
      <c r="D614" s="8">
        <f t="shared" si="110"/>
        <v>0.86138613861386137</v>
      </c>
      <c r="E614" s="12">
        <v>247630667</v>
      </c>
      <c r="F614" s="10">
        <f>E614/(E614+I614)</f>
        <v>0.97555506995703389</v>
      </c>
      <c r="G614" s="11">
        <v>56</v>
      </c>
      <c r="H614" s="10">
        <f t="shared" si="111"/>
        <v>0.13861386138613863</v>
      </c>
      <c r="I614" s="12">
        <v>6204995</v>
      </c>
      <c r="J614" s="10">
        <f>I614/(E614+I614)</f>
        <v>2.4444930042966145E-2</v>
      </c>
    </row>
    <row r="615" spans="1:13">
      <c r="A615" s="3" t="s">
        <v>65</v>
      </c>
      <c r="B615" s="6">
        <f>C615+G615</f>
        <v>5802</v>
      </c>
      <c r="C615" s="7">
        <v>1489</v>
      </c>
      <c r="D615" s="8">
        <f t="shared" si="110"/>
        <v>0.25663564288176494</v>
      </c>
      <c r="E615" s="12">
        <v>1173943</v>
      </c>
      <c r="F615" s="10">
        <f>E615/(E615+I614)</f>
        <v>0.15909376118894075</v>
      </c>
      <c r="G615" s="11">
        <v>4313</v>
      </c>
      <c r="H615" s="10">
        <f t="shared" si="111"/>
        <v>0.74336435711823512</v>
      </c>
      <c r="I615" s="13">
        <v>597037</v>
      </c>
      <c r="J615" s="10">
        <f>I614/(E615+I614)</f>
        <v>0.8409062388110593</v>
      </c>
      <c r="M615" s="14"/>
    </row>
    <row r="616" spans="1:13" ht="15.75">
      <c r="B616" s="15">
        <f>SUM(B611:B615)</f>
        <v>644065</v>
      </c>
      <c r="C616" s="16">
        <f>SUM(C611:C615)</f>
        <v>86128</v>
      </c>
      <c r="D616" s="17">
        <f t="shared" si="110"/>
        <v>0.13372563328235504</v>
      </c>
      <c r="E616" s="18">
        <f>SUM(E611:E615)</f>
        <v>391761712</v>
      </c>
      <c r="F616" s="10">
        <f>E616/(E616+I616)</f>
        <v>0.52484087210064445</v>
      </c>
      <c r="G616" s="18">
        <f>SUM(G611:G615)</f>
        <v>557937</v>
      </c>
      <c r="H616" s="17">
        <f t="shared" si="111"/>
        <v>0.86627436671764491</v>
      </c>
      <c r="I616" s="18">
        <f>SUM(I611:I615)</f>
        <v>354677319</v>
      </c>
      <c r="J616" s="10">
        <f>I616/(E616+I616)</f>
        <v>0.47515912789935549</v>
      </c>
    </row>
    <row r="617" spans="1:13" ht="15.75">
      <c r="A617" s="1" t="s">
        <v>0</v>
      </c>
      <c r="B617" s="3"/>
      <c r="J617" s="3"/>
    </row>
    <row r="618" spans="1:13" ht="15.75">
      <c r="A618" s="1" t="s">
        <v>73</v>
      </c>
      <c r="B618" s="2"/>
      <c r="C618" s="2" t="s">
        <v>2</v>
      </c>
      <c r="D618" s="2"/>
      <c r="E618" s="2"/>
      <c r="F618" s="2"/>
      <c r="G618" s="2" t="s">
        <v>3</v>
      </c>
      <c r="H618" s="2"/>
      <c r="I618" s="2"/>
      <c r="J618" s="2"/>
    </row>
    <row r="619" spans="1:13">
      <c r="B619" s="4" t="s">
        <v>4</v>
      </c>
      <c r="C619" s="4" t="s">
        <v>5</v>
      </c>
      <c r="D619" s="4"/>
      <c r="E619" s="4" t="s">
        <v>6</v>
      </c>
      <c r="F619" s="5"/>
      <c r="G619" s="4" t="s">
        <v>7</v>
      </c>
      <c r="H619" s="5"/>
      <c r="I619" s="5" t="s">
        <v>6</v>
      </c>
      <c r="J619" s="5"/>
    </row>
    <row r="620" spans="1:13">
      <c r="B620" s="4" t="s">
        <v>8</v>
      </c>
      <c r="C620" s="4" t="s">
        <v>8</v>
      </c>
      <c r="D620" s="4" t="s">
        <v>9</v>
      </c>
      <c r="E620" s="4" t="s">
        <v>8</v>
      </c>
      <c r="F620" s="5" t="s">
        <v>9</v>
      </c>
      <c r="G620" s="5" t="s">
        <v>8</v>
      </c>
      <c r="H620" s="5" t="s">
        <v>9</v>
      </c>
      <c r="I620" s="5" t="s">
        <v>8</v>
      </c>
      <c r="J620" s="5" t="s">
        <v>9</v>
      </c>
    </row>
    <row r="621" spans="1:13">
      <c r="B621" s="4"/>
      <c r="C621" s="4"/>
      <c r="D621" s="4"/>
      <c r="E621" s="4"/>
      <c r="F621" s="4"/>
      <c r="G621" s="4"/>
      <c r="H621" s="4"/>
      <c r="I621" s="4"/>
      <c r="J621" s="4"/>
    </row>
    <row r="622" spans="1:13">
      <c r="A622" s="3" t="s">
        <v>10</v>
      </c>
      <c r="B622" s="6">
        <f>C622+G622</f>
        <v>538294</v>
      </c>
      <c r="C622" s="7">
        <v>59364</v>
      </c>
      <c r="D622" s="8">
        <f t="shared" ref="D622:D627" si="112">C622/B622</f>
        <v>0.11028174194770887</v>
      </c>
      <c r="E622" s="12">
        <v>31360909</v>
      </c>
      <c r="F622" s="10">
        <f>E622/(E622+I622)</f>
        <v>0.11082186085275474</v>
      </c>
      <c r="G622" s="11">
        <v>478930</v>
      </c>
      <c r="H622" s="10">
        <f t="shared" ref="H622:H627" si="113">G622/B622</f>
        <v>0.8897182580522911</v>
      </c>
      <c r="I622" s="12">
        <v>251623953</v>
      </c>
      <c r="J622" s="10">
        <f>I622/(E622+I622)</f>
        <v>0.88917813914724531</v>
      </c>
    </row>
    <row r="623" spans="1:13">
      <c r="A623" s="3" t="s">
        <v>11</v>
      </c>
      <c r="B623" s="6">
        <f>C623+G623</f>
        <v>55579</v>
      </c>
      <c r="C623" s="7">
        <v>15620</v>
      </c>
      <c r="D623" s="8">
        <f t="shared" si="112"/>
        <v>0.28104140052897675</v>
      </c>
      <c r="E623" s="12">
        <v>11857337</v>
      </c>
      <c r="F623" s="10">
        <f>E623/(E623+I623)</f>
        <v>0.29780809226348365</v>
      </c>
      <c r="G623" s="11">
        <v>39959</v>
      </c>
      <c r="H623" s="10">
        <f t="shared" si="113"/>
        <v>0.71895859947102325</v>
      </c>
      <c r="I623" s="12">
        <v>27958025</v>
      </c>
      <c r="J623" s="10">
        <f>I623/(E623+I623)</f>
        <v>0.70219190773651641</v>
      </c>
    </row>
    <row r="624" spans="1:13">
      <c r="A624" s="3" t="s">
        <v>12</v>
      </c>
      <c r="B624" s="6">
        <f>C624+G624</f>
        <v>10701</v>
      </c>
      <c r="C624" s="7">
        <v>5032</v>
      </c>
      <c r="D624" s="8">
        <f t="shared" si="112"/>
        <v>0.47023642650219605</v>
      </c>
      <c r="E624" s="12">
        <v>81522778</v>
      </c>
      <c r="F624" s="10">
        <f>E624/(E624+I624)</f>
        <v>0.64679516024879091</v>
      </c>
      <c r="G624" s="11">
        <v>5669</v>
      </c>
      <c r="H624" s="10">
        <f t="shared" si="113"/>
        <v>0.5297635734978039</v>
      </c>
      <c r="I624" s="12">
        <v>44518329</v>
      </c>
      <c r="J624" s="10">
        <f>I624/(E624+I624)</f>
        <v>0.35320483975120909</v>
      </c>
    </row>
    <row r="625" spans="1:13">
      <c r="A625" s="3" t="s">
        <v>13</v>
      </c>
      <c r="B625" s="6">
        <f>C625+G625</f>
        <v>364</v>
      </c>
      <c r="C625" s="7">
        <v>319</v>
      </c>
      <c r="D625" s="8">
        <f t="shared" si="112"/>
        <v>0.87637362637362637</v>
      </c>
      <c r="E625" s="12">
        <v>175034237</v>
      </c>
      <c r="F625" s="10">
        <f>E625/(E625+I625)</f>
        <v>0.98825640705001883</v>
      </c>
      <c r="G625" s="11">
        <v>45</v>
      </c>
      <c r="H625" s="10">
        <f t="shared" si="113"/>
        <v>0.12362637362637363</v>
      </c>
      <c r="I625" s="12">
        <v>2079957</v>
      </c>
      <c r="J625" s="10">
        <f>I625/(E625+I625)</f>
        <v>1.1743592949981186E-2</v>
      </c>
    </row>
    <row r="626" spans="1:13">
      <c r="A626" s="3" t="s">
        <v>65</v>
      </c>
      <c r="B626" s="6">
        <f>C626+G626</f>
        <v>5569</v>
      </c>
      <c r="C626" s="7">
        <v>1418</v>
      </c>
      <c r="D626" s="8">
        <f t="shared" si="112"/>
        <v>0.2546238103788831</v>
      </c>
      <c r="E626" s="12">
        <v>1571022</v>
      </c>
      <c r="F626" s="10">
        <f>E626/(E626+I625)</f>
        <v>0.4303015711676238</v>
      </c>
      <c r="G626" s="11">
        <v>4151</v>
      </c>
      <c r="H626" s="10">
        <f t="shared" si="113"/>
        <v>0.74537618962111685</v>
      </c>
      <c r="I626" s="13">
        <v>681729</v>
      </c>
      <c r="J626" s="10">
        <f>I625/(E626+I625)</f>
        <v>0.5696984288323762</v>
      </c>
      <c r="M626" s="14"/>
    </row>
    <row r="627" spans="1:13" ht="15.75">
      <c r="B627" s="15">
        <f>SUM(B622:B626)</f>
        <v>610507</v>
      </c>
      <c r="C627" s="16">
        <f>SUM(C622:C626)</f>
        <v>81753</v>
      </c>
      <c r="D627" s="17">
        <f t="shared" si="112"/>
        <v>0.13391001249780921</v>
      </c>
      <c r="E627" s="18">
        <f>SUM(E622:E626)</f>
        <v>301346283</v>
      </c>
      <c r="F627" s="10">
        <f>E627/(E627+I627)</f>
        <v>0.47969167951553698</v>
      </c>
      <c r="G627" s="18">
        <f>SUM(G622:G626)</f>
        <v>528754</v>
      </c>
      <c r="H627" s="17">
        <f t="shared" si="113"/>
        <v>0.86608998750219079</v>
      </c>
      <c r="I627" s="18">
        <f>SUM(I622:I626)</f>
        <v>326861993</v>
      </c>
      <c r="J627" s="10">
        <f>I627/(E627+I627)</f>
        <v>0.52030832048446307</v>
      </c>
    </row>
    <row r="628" spans="1:13" ht="15.75">
      <c r="A628" s="1" t="s">
        <v>0</v>
      </c>
      <c r="B628" s="3"/>
      <c r="J628" s="3"/>
    </row>
    <row r="629" spans="1:13" ht="15.75">
      <c r="A629" s="1" t="s">
        <v>74</v>
      </c>
      <c r="B629" s="2"/>
      <c r="C629" s="2" t="s">
        <v>2</v>
      </c>
      <c r="D629" s="2"/>
      <c r="E629" s="2"/>
      <c r="F629" s="2"/>
      <c r="G629" s="2" t="s">
        <v>3</v>
      </c>
      <c r="H629" s="2"/>
      <c r="I629" s="2"/>
      <c r="J629" s="2"/>
    </row>
    <row r="630" spans="1:13">
      <c r="B630" s="4" t="s">
        <v>4</v>
      </c>
      <c r="C630" s="4" t="s">
        <v>5</v>
      </c>
      <c r="D630" s="4"/>
      <c r="E630" s="4" t="s">
        <v>6</v>
      </c>
      <c r="F630" s="5"/>
      <c r="G630" s="4" t="s">
        <v>7</v>
      </c>
      <c r="H630" s="5"/>
      <c r="I630" s="5" t="s">
        <v>6</v>
      </c>
      <c r="J630" s="5"/>
    </row>
    <row r="631" spans="1:13">
      <c r="B631" s="4" t="s">
        <v>8</v>
      </c>
      <c r="C631" s="4" t="s">
        <v>8</v>
      </c>
      <c r="D631" s="4" t="s">
        <v>9</v>
      </c>
      <c r="E631" s="4" t="s">
        <v>8</v>
      </c>
      <c r="F631" s="5" t="s">
        <v>9</v>
      </c>
      <c r="G631" s="5" t="s">
        <v>8</v>
      </c>
      <c r="H631" s="5" t="s">
        <v>9</v>
      </c>
      <c r="I631" s="5" t="s">
        <v>8</v>
      </c>
      <c r="J631" s="5" t="s">
        <v>9</v>
      </c>
    </row>
    <row r="632" spans="1:13">
      <c r="B632" s="4"/>
      <c r="C632" s="4"/>
      <c r="D632" s="4"/>
      <c r="E632" s="4"/>
      <c r="F632" s="4"/>
      <c r="G632" s="4"/>
      <c r="H632" s="4"/>
      <c r="I632" s="4"/>
      <c r="J632" s="4"/>
    </row>
    <row r="633" spans="1:13">
      <c r="A633" s="3" t="s">
        <v>10</v>
      </c>
      <c r="B633" s="6">
        <f>C633+G633</f>
        <v>562696</v>
      </c>
      <c r="C633" s="7">
        <v>62732</v>
      </c>
      <c r="D633" s="8">
        <f t="shared" ref="D633:D638" si="114">C633/B633</f>
        <v>0.11148470932794972</v>
      </c>
      <c r="E633" s="12">
        <v>35919019</v>
      </c>
      <c r="F633" s="10">
        <f>E633/(E633+I633)</f>
        <v>0.11045031061969411</v>
      </c>
      <c r="G633" s="11">
        <v>499964</v>
      </c>
      <c r="H633" s="10">
        <f t="shared" ref="H633:H638" si="115">G633/B633</f>
        <v>0.88851529067205026</v>
      </c>
      <c r="I633" s="12">
        <v>289286214</v>
      </c>
      <c r="J633" s="10">
        <f>I633/(E633+I633)</f>
        <v>0.88954968938030587</v>
      </c>
    </row>
    <row r="634" spans="1:13">
      <c r="A634" s="3" t="s">
        <v>11</v>
      </c>
      <c r="B634" s="6">
        <f>C634+G634</f>
        <v>58365</v>
      </c>
      <c r="C634" s="7">
        <v>16366</v>
      </c>
      <c r="D634" s="8">
        <f t="shared" si="114"/>
        <v>0.2804077786344556</v>
      </c>
      <c r="E634" s="12">
        <v>13427718</v>
      </c>
      <c r="F634" s="10">
        <f>E634/(E634+I634)</f>
        <v>0.2896656940040056</v>
      </c>
      <c r="G634" s="11">
        <v>41999</v>
      </c>
      <c r="H634" s="10">
        <f t="shared" si="115"/>
        <v>0.71959222136554446</v>
      </c>
      <c r="I634" s="12">
        <v>32928196</v>
      </c>
      <c r="J634" s="10">
        <f>I634/(E634+I634)</f>
        <v>0.71033430599599434</v>
      </c>
    </row>
    <row r="635" spans="1:13">
      <c r="A635" s="3" t="s">
        <v>12</v>
      </c>
      <c r="B635" s="6">
        <f>C635+G635</f>
        <v>11325</v>
      </c>
      <c r="C635" s="7">
        <v>5300</v>
      </c>
      <c r="D635" s="8">
        <f t="shared" si="114"/>
        <v>0.46799116997792495</v>
      </c>
      <c r="E635" s="12">
        <v>92629909</v>
      </c>
      <c r="F635" s="10">
        <f>E635/(E635+I635)</f>
        <v>0.64552376011666801</v>
      </c>
      <c r="G635" s="11">
        <v>6025</v>
      </c>
      <c r="H635" s="10">
        <f t="shared" si="115"/>
        <v>0.53200883002207511</v>
      </c>
      <c r="I635" s="12">
        <v>50865830</v>
      </c>
      <c r="J635" s="10">
        <f>I635/(E635+I635)</f>
        <v>0.35447623988333199</v>
      </c>
    </row>
    <row r="636" spans="1:13">
      <c r="A636" s="3" t="s">
        <v>13</v>
      </c>
      <c r="B636" s="6">
        <f>C636+G636</f>
        <v>390</v>
      </c>
      <c r="C636" s="7">
        <v>341</v>
      </c>
      <c r="D636" s="8">
        <f t="shared" si="114"/>
        <v>0.87435897435897436</v>
      </c>
      <c r="E636" s="12">
        <v>158069645</v>
      </c>
      <c r="F636" s="10">
        <f>E636/(E636+I636)</f>
        <v>0.96686778218229885</v>
      </c>
      <c r="G636" s="11">
        <v>49</v>
      </c>
      <c r="H636" s="10">
        <f t="shared" si="115"/>
        <v>0.12564102564102564</v>
      </c>
      <c r="I636" s="12">
        <v>5416664</v>
      </c>
      <c r="J636" s="10">
        <f>I636/(E636+I636)</f>
        <v>3.3132217817701176E-2</v>
      </c>
    </row>
    <row r="637" spans="1:13">
      <c r="A637" s="3" t="s">
        <v>65</v>
      </c>
      <c r="B637" s="6">
        <f>C637+G637</f>
        <v>5803</v>
      </c>
      <c r="C637" s="7">
        <v>1476</v>
      </c>
      <c r="D637" s="8">
        <f t="shared" si="114"/>
        <v>0.25435119765638464</v>
      </c>
      <c r="E637" s="12">
        <v>1873218</v>
      </c>
      <c r="F637" s="10">
        <f>E637/(E637+I636)</f>
        <v>0.25696136096578792</v>
      </c>
      <c r="G637" s="11">
        <v>4327</v>
      </c>
      <c r="H637" s="10">
        <f t="shared" si="115"/>
        <v>0.74564880234361541</v>
      </c>
      <c r="I637" s="13">
        <v>913122</v>
      </c>
      <c r="J637" s="10">
        <f>I636/(E637+I636)</f>
        <v>0.74303863903421208</v>
      </c>
      <c r="M637" s="14"/>
    </row>
    <row r="638" spans="1:13" ht="15.75">
      <c r="B638" s="15">
        <f>SUM(B633:B637)</f>
        <v>638579</v>
      </c>
      <c r="C638" s="16">
        <f>SUM(C633:C637)</f>
        <v>86215</v>
      </c>
      <c r="D638" s="17">
        <f t="shared" si="114"/>
        <v>0.1350107034525094</v>
      </c>
      <c r="E638" s="18">
        <f>SUM(E633:E637)</f>
        <v>301919509</v>
      </c>
      <c r="F638" s="10">
        <f>E638/(E638+I638)</f>
        <v>0.44313286521477452</v>
      </c>
      <c r="G638" s="18">
        <f>SUM(G633:G637)</f>
        <v>552364</v>
      </c>
      <c r="H638" s="17">
        <f t="shared" si="115"/>
        <v>0.86498929654749057</v>
      </c>
      <c r="I638" s="18">
        <f>SUM(I633:I637)</f>
        <v>379410026</v>
      </c>
      <c r="J638" s="10">
        <f>I638/(E638+I638)</f>
        <v>0.55686713478522543</v>
      </c>
    </row>
    <row r="639" spans="1:13" ht="15.75">
      <c r="A639" s="1" t="s">
        <v>0</v>
      </c>
      <c r="B639" s="3"/>
      <c r="J639" s="3"/>
    </row>
    <row r="640" spans="1:13" ht="15.75">
      <c r="A640" s="1" t="s">
        <v>75</v>
      </c>
      <c r="B640" s="2"/>
      <c r="C640" s="2" t="s">
        <v>2</v>
      </c>
      <c r="D640" s="2"/>
      <c r="E640" s="2"/>
      <c r="F640" s="2"/>
      <c r="G640" s="2" t="s">
        <v>3</v>
      </c>
      <c r="H640" s="2"/>
      <c r="I640" s="2"/>
      <c r="J640" s="2"/>
    </row>
    <row r="641" spans="1:10">
      <c r="B641" s="4" t="s">
        <v>4</v>
      </c>
      <c r="C641" s="4" t="s">
        <v>5</v>
      </c>
      <c r="D641" s="4"/>
      <c r="E641" s="4" t="s">
        <v>6</v>
      </c>
      <c r="F641" s="5"/>
      <c r="G641" s="4" t="s">
        <v>7</v>
      </c>
      <c r="H641" s="5"/>
      <c r="I641" s="5" t="s">
        <v>6</v>
      </c>
      <c r="J641" s="5"/>
    </row>
    <row r="642" spans="1:10">
      <c r="B642" s="4" t="s">
        <v>8</v>
      </c>
      <c r="C642" s="4" t="s">
        <v>8</v>
      </c>
      <c r="D642" s="4" t="s">
        <v>9</v>
      </c>
      <c r="E642" s="4" t="s">
        <v>8</v>
      </c>
      <c r="F642" s="5" t="s">
        <v>9</v>
      </c>
      <c r="G642" s="5" t="s">
        <v>8</v>
      </c>
      <c r="H642" s="5" t="s">
        <v>9</v>
      </c>
      <c r="I642" s="5" t="s">
        <v>8</v>
      </c>
      <c r="J642" s="5" t="s">
        <v>9</v>
      </c>
    </row>
    <row r="643" spans="1:10">
      <c r="B643" s="4"/>
      <c r="C643" s="4"/>
      <c r="D643" s="4"/>
      <c r="E643" s="4"/>
      <c r="F643" s="4"/>
      <c r="G643" s="4"/>
      <c r="H643" s="4"/>
      <c r="I643" s="4"/>
      <c r="J643" s="4"/>
    </row>
    <row r="644" spans="1:10">
      <c r="A644" s="3" t="s">
        <v>10</v>
      </c>
      <c r="B644" s="6">
        <f>C644+G644</f>
        <v>565805</v>
      </c>
      <c r="C644" s="7">
        <v>63767</v>
      </c>
      <c r="D644" s="8">
        <f t="shared" ref="D644:D649" si="116">C644/B644</f>
        <v>0.11270137238094396</v>
      </c>
      <c r="E644" s="12">
        <v>37464761</v>
      </c>
      <c r="F644" s="10">
        <f>E644/(E644+I644)</f>
        <v>0.11086540056713377</v>
      </c>
      <c r="G644" s="11">
        <v>502038</v>
      </c>
      <c r="H644" s="10">
        <f t="shared" ref="H644:H649" si="117">G644/B644</f>
        <v>0.88729862761905609</v>
      </c>
      <c r="I644" s="12">
        <v>300465385</v>
      </c>
      <c r="J644" s="10">
        <f>I644/(E644+I644)</f>
        <v>0.88913459943286621</v>
      </c>
    </row>
    <row r="645" spans="1:10">
      <c r="A645" s="3" t="s">
        <v>11</v>
      </c>
      <c r="B645" s="6">
        <f>C645+G645</f>
        <v>58299</v>
      </c>
      <c r="C645" s="7">
        <v>16336</v>
      </c>
      <c r="D645" s="8">
        <f t="shared" si="116"/>
        <v>0.28021063826137671</v>
      </c>
      <c r="E645" s="12">
        <v>14947938</v>
      </c>
      <c r="F645" s="10">
        <f>E645/(E645+I645)</f>
        <v>0.27454559466734296</v>
      </c>
      <c r="G645" s="11">
        <v>41963</v>
      </c>
      <c r="H645" s="10">
        <f t="shared" si="117"/>
        <v>0.71978936173862329</v>
      </c>
      <c r="I645" s="12">
        <v>39498166</v>
      </c>
      <c r="J645" s="10">
        <f>I645/(E645+I645)</f>
        <v>0.72545440533265704</v>
      </c>
    </row>
    <row r="646" spans="1:10">
      <c r="A646" s="3" t="s">
        <v>12</v>
      </c>
      <c r="B646" s="6">
        <f>C646+G646</f>
        <v>11416</v>
      </c>
      <c r="C646" s="7">
        <v>5301</v>
      </c>
      <c r="D646" s="8">
        <f t="shared" si="116"/>
        <v>0.46434828311142257</v>
      </c>
      <c r="E646" s="12">
        <v>105536287</v>
      </c>
      <c r="F646" s="10">
        <f>E646/(E646+I646)</f>
        <v>0.63917827417054041</v>
      </c>
      <c r="G646" s="11">
        <v>6115</v>
      </c>
      <c r="H646" s="10">
        <f t="shared" si="117"/>
        <v>0.53565171688857749</v>
      </c>
      <c r="I646" s="12">
        <v>59576157</v>
      </c>
      <c r="J646" s="10">
        <f>I646/(E646+I646)</f>
        <v>0.36082172582945959</v>
      </c>
    </row>
    <row r="647" spans="1:10">
      <c r="A647" s="3" t="s">
        <v>13</v>
      </c>
      <c r="B647" s="6">
        <f>C647+G647</f>
        <v>408</v>
      </c>
      <c r="C647" s="7">
        <v>354</v>
      </c>
      <c r="D647" s="8">
        <f t="shared" si="116"/>
        <v>0.86764705882352944</v>
      </c>
      <c r="E647" s="12">
        <v>240428482</v>
      </c>
      <c r="F647" s="10">
        <f>E647/(E647+I647)</f>
        <v>0.97811907015638011</v>
      </c>
      <c r="G647" s="11">
        <v>54</v>
      </c>
      <c r="H647" s="10">
        <f t="shared" si="117"/>
        <v>0.13235294117647059</v>
      </c>
      <c r="I647" s="12">
        <v>5378485</v>
      </c>
      <c r="J647" s="10">
        <f>I647/(E647+I647)</f>
        <v>2.1880929843619931E-2</v>
      </c>
    </row>
    <row r="648" spans="1:10">
      <c r="A648" s="3" t="s">
        <v>65</v>
      </c>
      <c r="B648" s="6">
        <f>C648+G648</f>
        <v>5409</v>
      </c>
      <c r="C648" s="7">
        <v>1480</v>
      </c>
      <c r="D648" s="8">
        <f t="shared" si="116"/>
        <v>0.27361804400073952</v>
      </c>
      <c r="E648" s="12">
        <v>1947580</v>
      </c>
      <c r="F648" s="10">
        <f>E648/(E648+I647)</f>
        <v>0.26584257715431137</v>
      </c>
      <c r="G648" s="11">
        <v>3929</v>
      </c>
      <c r="H648" s="10">
        <f t="shared" si="117"/>
        <v>0.72638195599926048</v>
      </c>
      <c r="I648" s="13">
        <v>801879</v>
      </c>
      <c r="J648" s="10">
        <f>I647/(E648+I647)</f>
        <v>0.73415742284568863</v>
      </c>
    </row>
    <row r="649" spans="1:10" ht="15.75">
      <c r="B649" s="15">
        <f>SUM(B644:B648)</f>
        <v>641337</v>
      </c>
      <c r="C649" s="16">
        <f>SUM(C644:C648)</f>
        <v>87238</v>
      </c>
      <c r="D649" s="17">
        <f t="shared" si="116"/>
        <v>0.1360252098350789</v>
      </c>
      <c r="E649" s="18">
        <f>SUM(E644:E648)</f>
        <v>400325048</v>
      </c>
      <c r="F649" s="10">
        <f>E649/(E649+I649)</f>
        <v>0.49665339826137772</v>
      </c>
      <c r="G649" s="18">
        <f>SUM(G644:G648)</f>
        <v>554099</v>
      </c>
      <c r="H649" s="17">
        <f t="shared" si="117"/>
        <v>0.86397479016492107</v>
      </c>
      <c r="I649" s="18">
        <f>SUM(I644:I648)</f>
        <v>405720072</v>
      </c>
      <c r="J649" s="10">
        <f>I649/(E649+I649)</f>
        <v>0.50334660173862222</v>
      </c>
    </row>
    <row r="650" spans="1:10" ht="15.75">
      <c r="A650" s="1" t="s">
        <v>0</v>
      </c>
      <c r="B650" s="3"/>
      <c r="J650" s="3"/>
    </row>
    <row r="651" spans="1:10" ht="15.75">
      <c r="A651" s="1" t="s">
        <v>76</v>
      </c>
      <c r="B651" s="2"/>
      <c r="C651" s="2" t="s">
        <v>2</v>
      </c>
      <c r="D651" s="2"/>
      <c r="E651" s="2"/>
      <c r="F651" s="2"/>
      <c r="G651" s="2" t="s">
        <v>3</v>
      </c>
      <c r="H651" s="2"/>
      <c r="I651" s="2"/>
      <c r="J651" s="2"/>
    </row>
    <row r="652" spans="1:10">
      <c r="B652" s="4" t="s">
        <v>4</v>
      </c>
      <c r="C652" s="4" t="s">
        <v>5</v>
      </c>
      <c r="D652" s="4"/>
      <c r="E652" s="4" t="s">
        <v>6</v>
      </c>
      <c r="F652" s="5"/>
      <c r="G652" s="4" t="s">
        <v>7</v>
      </c>
      <c r="H652" s="5"/>
      <c r="I652" s="5" t="s">
        <v>6</v>
      </c>
      <c r="J652" s="5"/>
    </row>
    <row r="653" spans="1:10">
      <c r="B653" s="4" t="s">
        <v>8</v>
      </c>
      <c r="C653" s="4" t="s">
        <v>8</v>
      </c>
      <c r="D653" s="4" t="s">
        <v>9</v>
      </c>
      <c r="E653" s="4" t="s">
        <v>8</v>
      </c>
      <c r="F653" s="5" t="s">
        <v>9</v>
      </c>
      <c r="G653" s="5" t="s">
        <v>8</v>
      </c>
      <c r="H653" s="5" t="s">
        <v>9</v>
      </c>
      <c r="I653" s="5" t="s">
        <v>8</v>
      </c>
      <c r="J653" s="5" t="s">
        <v>9</v>
      </c>
    </row>
    <row r="654" spans="1:10">
      <c r="B654" s="4"/>
      <c r="C654" s="4"/>
      <c r="D654" s="4"/>
      <c r="E654" s="4"/>
      <c r="F654" s="4"/>
      <c r="G654" s="4"/>
      <c r="H654" s="4"/>
      <c r="I654" s="4"/>
      <c r="J654" s="4"/>
    </row>
    <row r="655" spans="1:10">
      <c r="A655" s="3" t="s">
        <v>10</v>
      </c>
      <c r="B655" s="6">
        <f>C655+G655</f>
        <v>510199</v>
      </c>
      <c r="C655" s="7">
        <v>57918</v>
      </c>
      <c r="D655" s="8">
        <f t="shared" ref="D655:D660" si="118">C655/B655</f>
        <v>0.1135204106632902</v>
      </c>
      <c r="E655" s="12">
        <v>34857450</v>
      </c>
      <c r="F655" s="10">
        <f>E655/(E655+I655)</f>
        <v>0.11129207169213906</v>
      </c>
      <c r="G655" s="11">
        <v>452281</v>
      </c>
      <c r="H655" s="10">
        <f t="shared" ref="H655:H660" si="119">G655/B655</f>
        <v>0.88647958933670978</v>
      </c>
      <c r="I655" s="12">
        <v>278349497</v>
      </c>
      <c r="J655" s="10">
        <f>I655/(E655+I655)</f>
        <v>0.88870792830786094</v>
      </c>
    </row>
    <row r="656" spans="1:10">
      <c r="A656" s="3" t="s">
        <v>11</v>
      </c>
      <c r="B656" s="6">
        <f>C656+G656</f>
        <v>52673</v>
      </c>
      <c r="C656" s="7">
        <v>14969</v>
      </c>
      <c r="D656" s="8">
        <f t="shared" si="118"/>
        <v>0.28418734455983141</v>
      </c>
      <c r="E656" s="12">
        <v>13836526</v>
      </c>
      <c r="F656" s="10">
        <f>E656/(E656+I656)</f>
        <v>0.27483289778066772</v>
      </c>
      <c r="G656" s="11">
        <v>37704</v>
      </c>
      <c r="H656" s="10">
        <f t="shared" si="119"/>
        <v>0.71581265544016859</v>
      </c>
      <c r="I656" s="12">
        <v>36508706</v>
      </c>
      <c r="J656" s="10">
        <f>I656/(E656+I656)</f>
        <v>0.72516710221933234</v>
      </c>
    </row>
    <row r="657" spans="1:10">
      <c r="A657" s="3" t="s">
        <v>12</v>
      </c>
      <c r="B657" s="6">
        <f>C657+G657</f>
        <v>10239</v>
      </c>
      <c r="C657" s="7">
        <v>4763</v>
      </c>
      <c r="D657" s="8">
        <f t="shared" si="118"/>
        <v>0.46518214669401309</v>
      </c>
      <c r="E657" s="12">
        <v>94069206</v>
      </c>
      <c r="F657" s="10">
        <f>E657/(E657+I657)</f>
        <v>0.64216305497927417</v>
      </c>
      <c r="G657" s="11">
        <v>5476</v>
      </c>
      <c r="H657" s="10">
        <f t="shared" si="119"/>
        <v>0.53481785330598697</v>
      </c>
      <c r="I657" s="12">
        <v>52418832</v>
      </c>
      <c r="J657" s="10">
        <f>I657/(E657+I657)</f>
        <v>0.35783694502072588</v>
      </c>
    </row>
    <row r="658" spans="1:10">
      <c r="A658" s="3" t="s">
        <v>13</v>
      </c>
      <c r="B658" s="6">
        <f>C658+G658</f>
        <v>353</v>
      </c>
      <c r="C658" s="7">
        <v>310</v>
      </c>
      <c r="D658" s="8">
        <f t="shared" si="118"/>
        <v>0.87818696883852687</v>
      </c>
      <c r="E658" s="12">
        <v>125675316</v>
      </c>
      <c r="F658" s="10">
        <f>E658/(E658+I658)</f>
        <v>0.96903772078274764</v>
      </c>
      <c r="G658" s="11">
        <v>43</v>
      </c>
      <c r="H658" s="10">
        <f t="shared" si="119"/>
        <v>0.12181303116147309</v>
      </c>
      <c r="I658" s="12">
        <v>4015524</v>
      </c>
      <c r="J658" s="10">
        <f>I658/(E658+I658)</f>
        <v>3.096227921725235E-2</v>
      </c>
    </row>
    <row r="659" spans="1:10">
      <c r="A659" s="3" t="s">
        <v>65</v>
      </c>
      <c r="B659" s="6">
        <f>C659+G659</f>
        <v>5300</v>
      </c>
      <c r="C659" s="7">
        <v>1347</v>
      </c>
      <c r="D659" s="8">
        <f t="shared" si="118"/>
        <v>0.2541509433962264</v>
      </c>
      <c r="E659" s="12">
        <v>2351041</v>
      </c>
      <c r="F659" s="10">
        <f>E659/(E659+I658)</f>
        <v>0.36927935236662157</v>
      </c>
      <c r="G659" s="11">
        <v>3953</v>
      </c>
      <c r="H659" s="10">
        <f t="shared" si="119"/>
        <v>0.74584905660377354</v>
      </c>
      <c r="I659" s="13">
        <v>1009658</v>
      </c>
      <c r="J659" s="10">
        <f>I658/(E659+I658)</f>
        <v>0.63072064763337843</v>
      </c>
    </row>
    <row r="660" spans="1:10" ht="15.75">
      <c r="B660" s="15">
        <f>SUM(B655:B659)</f>
        <v>578764</v>
      </c>
      <c r="C660" s="16">
        <f>SUM(C655:C659)</f>
        <v>79307</v>
      </c>
      <c r="D660" s="17">
        <f t="shared" si="118"/>
        <v>0.1370282187558314</v>
      </c>
      <c r="E660" s="18">
        <f>SUM(E655:E659)</f>
        <v>270789539</v>
      </c>
      <c r="F660" s="10">
        <f>E660/(E660+I660)</f>
        <v>0.4210744990486241</v>
      </c>
      <c r="G660" s="18">
        <f>SUM(G655:G659)</f>
        <v>499457</v>
      </c>
      <c r="H660" s="17">
        <f t="shared" si="119"/>
        <v>0.86297178124416862</v>
      </c>
      <c r="I660" s="18">
        <f>SUM(I655:I659)</f>
        <v>372302217</v>
      </c>
      <c r="J660" s="10">
        <f>I660/(E660+I660)</f>
        <v>0.57892550095137585</v>
      </c>
    </row>
    <row r="661" spans="1:10" ht="15.75">
      <c r="A661" s="1" t="s">
        <v>0</v>
      </c>
      <c r="B661" s="3"/>
      <c r="J661" s="3"/>
    </row>
    <row r="662" spans="1:10" ht="15.75">
      <c r="A662" s="1" t="s">
        <v>77</v>
      </c>
      <c r="B662" s="2"/>
      <c r="C662" s="2" t="s">
        <v>2</v>
      </c>
      <c r="D662" s="2"/>
      <c r="E662" s="2"/>
      <c r="F662" s="2"/>
      <c r="G662" s="2" t="s">
        <v>3</v>
      </c>
      <c r="H662" s="2"/>
      <c r="I662" s="2"/>
      <c r="J662" s="2"/>
    </row>
    <row r="663" spans="1:10">
      <c r="B663" s="4" t="s">
        <v>4</v>
      </c>
      <c r="C663" s="4" t="s">
        <v>5</v>
      </c>
      <c r="D663" s="4"/>
      <c r="E663" s="4" t="s">
        <v>6</v>
      </c>
      <c r="F663" s="5"/>
      <c r="G663" s="4" t="s">
        <v>7</v>
      </c>
      <c r="H663" s="5"/>
      <c r="I663" s="5" t="s">
        <v>6</v>
      </c>
      <c r="J663" s="5"/>
    </row>
    <row r="664" spans="1:10">
      <c r="B664" s="4" t="s">
        <v>8</v>
      </c>
      <c r="C664" s="4" t="s">
        <v>8</v>
      </c>
      <c r="D664" s="4" t="s">
        <v>9</v>
      </c>
      <c r="E664" s="4" t="s">
        <v>8</v>
      </c>
      <c r="F664" s="5" t="s">
        <v>9</v>
      </c>
      <c r="G664" s="5" t="s">
        <v>8</v>
      </c>
      <c r="H664" s="5" t="s">
        <v>9</v>
      </c>
      <c r="I664" s="5" t="s">
        <v>8</v>
      </c>
      <c r="J664" s="5" t="s">
        <v>9</v>
      </c>
    </row>
    <row r="665" spans="1:10">
      <c r="B665" s="4"/>
      <c r="C665" s="4"/>
      <c r="D665" s="4"/>
      <c r="E665" s="4"/>
      <c r="F665" s="4"/>
      <c r="G665" s="4"/>
      <c r="H665" s="4"/>
      <c r="I665" s="4"/>
      <c r="J665" s="4"/>
    </row>
    <row r="666" spans="1:10">
      <c r="A666" s="3" t="s">
        <v>10</v>
      </c>
      <c r="B666" s="6">
        <f>C666+G666</f>
        <v>565442</v>
      </c>
      <c r="C666" s="7">
        <v>65713</v>
      </c>
      <c r="D666" s="8">
        <f t="shared" ref="D666:D671" si="120">C666/B666</f>
        <v>0.11621527937436554</v>
      </c>
      <c r="E666" s="12">
        <v>46225163</v>
      </c>
      <c r="F666" s="10">
        <f>E666/(E666+I666)</f>
        <v>0.11541778118194182</v>
      </c>
      <c r="G666" s="11">
        <v>499729</v>
      </c>
      <c r="H666" s="10">
        <f t="shared" ref="H666:H671" si="121">G666/B666</f>
        <v>0.88378472062563451</v>
      </c>
      <c r="I666" s="12">
        <v>354277797</v>
      </c>
      <c r="J666" s="10">
        <f>I666/(E666+I666)</f>
        <v>0.88458221881805821</v>
      </c>
    </row>
    <row r="667" spans="1:10">
      <c r="A667" s="3" t="s">
        <v>11</v>
      </c>
      <c r="B667" s="6">
        <f>C667+G667</f>
        <v>58146</v>
      </c>
      <c r="C667" s="7">
        <v>15741</v>
      </c>
      <c r="D667" s="8">
        <f t="shared" si="120"/>
        <v>0.27071509648127129</v>
      </c>
      <c r="E667" s="12">
        <v>16287732</v>
      </c>
      <c r="F667" s="10">
        <f>E667/(E667+I667)</f>
        <v>0.2650092426097358</v>
      </c>
      <c r="G667" s="11">
        <v>42405</v>
      </c>
      <c r="H667" s="10">
        <f t="shared" si="121"/>
        <v>0.72928490351872877</v>
      </c>
      <c r="I667" s="12">
        <v>45173264</v>
      </c>
      <c r="J667" s="10">
        <f>I667/(E667+I667)</f>
        <v>0.7349907573902642</v>
      </c>
    </row>
    <row r="668" spans="1:10">
      <c r="A668" s="3" t="s">
        <v>12</v>
      </c>
      <c r="B668" s="6">
        <f>C668+G668</f>
        <v>11431</v>
      </c>
      <c r="C668" s="7">
        <v>5202</v>
      </c>
      <c r="D668" s="8">
        <f t="shared" si="120"/>
        <v>0.45507829586212928</v>
      </c>
      <c r="E668" s="12">
        <v>115006136</v>
      </c>
      <c r="F668" s="10">
        <f>E668/(E668+I668)</f>
        <v>0.63119670579440201</v>
      </c>
      <c r="G668" s="11">
        <v>6229</v>
      </c>
      <c r="H668" s="10">
        <f t="shared" si="121"/>
        <v>0.54492170413787067</v>
      </c>
      <c r="I668" s="12">
        <v>67197185</v>
      </c>
      <c r="J668" s="10">
        <f>I668/(E668+I668)</f>
        <v>0.36880329420559793</v>
      </c>
    </row>
    <row r="669" spans="1:10">
      <c r="A669" s="3" t="s">
        <v>13</v>
      </c>
      <c r="B669" s="6">
        <f>C669+G669</f>
        <v>409</v>
      </c>
      <c r="C669" s="7">
        <v>355</v>
      </c>
      <c r="D669" s="8">
        <f t="shared" si="120"/>
        <v>0.86797066014669921</v>
      </c>
      <c r="E669" s="12">
        <v>269804259</v>
      </c>
      <c r="F669" s="10">
        <f>E669/(E669+I669)</f>
        <v>0.97528977876262091</v>
      </c>
      <c r="G669" s="11">
        <v>54</v>
      </c>
      <c r="H669" s="10">
        <f t="shared" si="121"/>
        <v>0.13202933985330073</v>
      </c>
      <c r="I669" s="12">
        <v>6835838</v>
      </c>
      <c r="J669" s="10">
        <f>I669/(E669+I669)</f>
        <v>2.4710221237379048E-2</v>
      </c>
    </row>
    <row r="670" spans="1:10">
      <c r="A670" s="3" t="s">
        <v>65</v>
      </c>
      <c r="B670" s="6">
        <f>C670+G670</f>
        <v>5863</v>
      </c>
      <c r="C670" s="7">
        <v>1504</v>
      </c>
      <c r="D670" s="8">
        <f t="shared" si="120"/>
        <v>0.25652396384103704</v>
      </c>
      <c r="E670" s="12">
        <v>2716864</v>
      </c>
      <c r="F670" s="10">
        <f>E670/(E670+I669)</f>
        <v>0.28440790888274331</v>
      </c>
      <c r="G670" s="11">
        <v>4359</v>
      </c>
      <c r="H670" s="10">
        <f t="shared" si="121"/>
        <v>0.74347603615896296</v>
      </c>
      <c r="I670" s="13">
        <v>1265151</v>
      </c>
      <c r="J670" s="10">
        <f>I669/(E670+I669)</f>
        <v>0.71559209111725663</v>
      </c>
    </row>
    <row r="671" spans="1:10" ht="15.75">
      <c r="B671" s="15">
        <f>SUM(B666:B670)</f>
        <v>641291</v>
      </c>
      <c r="C671" s="16">
        <f>SUM(C666:C670)</f>
        <v>88515</v>
      </c>
      <c r="D671" s="17">
        <f t="shared" si="120"/>
        <v>0.13802626264831411</v>
      </c>
      <c r="E671" s="18">
        <f>SUM(E666:E670)</f>
        <v>450040154</v>
      </c>
      <c r="F671" s="10">
        <f>E671/(E671+I671)</f>
        <v>0.48664069825308082</v>
      </c>
      <c r="G671" s="18">
        <f>SUM(G666:G670)</f>
        <v>552776</v>
      </c>
      <c r="H671" s="17">
        <f t="shared" si="121"/>
        <v>0.86197373735168592</v>
      </c>
      <c r="I671" s="18">
        <f>SUM(I666:I670)</f>
        <v>474749235</v>
      </c>
      <c r="J671" s="10">
        <f>I671/(E671+I671)</f>
        <v>0.51335930174691913</v>
      </c>
    </row>
    <row r="672" spans="1:10" ht="15.75">
      <c r="A672" s="1" t="s">
        <v>0</v>
      </c>
      <c r="B672" s="3"/>
      <c r="J672" s="3"/>
    </row>
    <row r="673" spans="1:13" ht="15.75">
      <c r="A673" s="1" t="s">
        <v>78</v>
      </c>
      <c r="B673" s="2"/>
      <c r="C673" s="2" t="s">
        <v>2</v>
      </c>
      <c r="D673" s="2"/>
      <c r="E673" s="2"/>
      <c r="F673" s="2"/>
      <c r="G673" s="2" t="s">
        <v>3</v>
      </c>
      <c r="H673" s="2"/>
      <c r="I673" s="2"/>
      <c r="J673" s="2"/>
    </row>
    <row r="674" spans="1:13">
      <c r="B674" s="4" t="s">
        <v>4</v>
      </c>
      <c r="C674" s="4" t="s">
        <v>5</v>
      </c>
      <c r="D674" s="4"/>
      <c r="E674" s="4" t="s">
        <v>6</v>
      </c>
      <c r="F674" s="5"/>
      <c r="G674" s="4" t="s">
        <v>7</v>
      </c>
      <c r="H674" s="5"/>
      <c r="I674" s="5" t="s">
        <v>6</v>
      </c>
      <c r="J674" s="5"/>
    </row>
    <row r="675" spans="1:13">
      <c r="B675" s="4" t="s">
        <v>8</v>
      </c>
      <c r="C675" s="4" t="s">
        <v>8</v>
      </c>
      <c r="D675" s="4" t="s">
        <v>9</v>
      </c>
      <c r="E675" s="4" t="s">
        <v>8</v>
      </c>
      <c r="F675" s="5" t="s">
        <v>9</v>
      </c>
      <c r="G675" s="5" t="s">
        <v>8</v>
      </c>
      <c r="H675" s="5" t="s">
        <v>9</v>
      </c>
      <c r="I675" s="5" t="s">
        <v>8</v>
      </c>
      <c r="J675" s="5" t="s">
        <v>9</v>
      </c>
    </row>
    <row r="676" spans="1:13">
      <c r="B676" s="4"/>
      <c r="C676" s="4"/>
      <c r="D676" s="4"/>
      <c r="E676" s="4"/>
      <c r="F676" s="4"/>
      <c r="G676" s="4"/>
      <c r="H676" s="4"/>
      <c r="I676" s="4"/>
      <c r="J676" s="4"/>
    </row>
    <row r="677" spans="1:13">
      <c r="A677" s="3" t="s">
        <v>10</v>
      </c>
      <c r="B677" s="6">
        <f>C677+G677</f>
        <v>565380</v>
      </c>
      <c r="C677" s="7">
        <v>67456</v>
      </c>
      <c r="D677" s="8">
        <f t="shared" ref="D677:D682" si="122">C677/B677</f>
        <v>0.11931090593936822</v>
      </c>
      <c r="E677" s="12">
        <v>44856528</v>
      </c>
      <c r="F677" s="10">
        <f>E677/(E677+I677)</f>
        <v>0.11951162873545276</v>
      </c>
      <c r="G677" s="11">
        <v>497924</v>
      </c>
      <c r="H677" s="10">
        <f t="shared" ref="H677:H682" si="123">G677/B677</f>
        <v>0.88068909406063178</v>
      </c>
      <c r="I677" s="12">
        <v>330475383</v>
      </c>
      <c r="J677" s="10">
        <f>I677/(E677+I677)</f>
        <v>0.88048837126454726</v>
      </c>
    </row>
    <row r="678" spans="1:13">
      <c r="A678" s="3" t="s">
        <v>11</v>
      </c>
      <c r="B678" s="6">
        <f>C678+G678</f>
        <v>57869</v>
      </c>
      <c r="C678" s="7">
        <v>15703</v>
      </c>
      <c r="D678" s="8">
        <f t="shared" si="122"/>
        <v>0.27135426566901105</v>
      </c>
      <c r="E678" s="12">
        <v>15617183</v>
      </c>
      <c r="F678" s="10">
        <f>E678/(E678+I678)</f>
        <v>0.26901241990140107</v>
      </c>
      <c r="G678" s="11">
        <v>42166</v>
      </c>
      <c r="H678" s="10">
        <f t="shared" si="123"/>
        <v>0.728645734330989</v>
      </c>
      <c r="I678" s="12">
        <v>42436579</v>
      </c>
      <c r="J678" s="10">
        <f>I678/(E678+I678)</f>
        <v>0.73098758009859899</v>
      </c>
      <c r="M678" s="19"/>
    </row>
    <row r="679" spans="1:13">
      <c r="A679" s="3" t="s">
        <v>12</v>
      </c>
      <c r="B679" s="6">
        <f>C679+G679</f>
        <v>11400</v>
      </c>
      <c r="C679" s="7">
        <v>5156</v>
      </c>
      <c r="D679" s="8">
        <f t="shared" si="122"/>
        <v>0.45228070175438595</v>
      </c>
      <c r="E679" s="12">
        <v>110333097</v>
      </c>
      <c r="F679" s="10">
        <f>E679/(E679+I679)</f>
        <v>0.62043398805623029</v>
      </c>
      <c r="G679" s="11">
        <v>6244</v>
      </c>
      <c r="H679" s="10">
        <f t="shared" si="123"/>
        <v>0.54771929824561405</v>
      </c>
      <c r="I679" s="12">
        <v>67499032</v>
      </c>
      <c r="J679" s="10">
        <f>I679/(E679+I679)</f>
        <v>0.37956601194376971</v>
      </c>
      <c r="M679" s="19">
        <f>I925+E925</f>
        <v>0</v>
      </c>
    </row>
    <row r="680" spans="1:13">
      <c r="A680" s="3" t="s">
        <v>13</v>
      </c>
      <c r="B680" s="6">
        <f>C680+G680</f>
        <v>403</v>
      </c>
      <c r="C680" s="7">
        <v>351</v>
      </c>
      <c r="D680" s="8">
        <f t="shared" si="122"/>
        <v>0.87096774193548387</v>
      </c>
      <c r="E680" s="12">
        <v>228342033</v>
      </c>
      <c r="F680" s="10">
        <f>E680/(E680+I680)</f>
        <v>0.97897272428521387</v>
      </c>
      <c r="G680" s="11">
        <v>52</v>
      </c>
      <c r="H680" s="10">
        <f t="shared" si="123"/>
        <v>0.12903225806451613</v>
      </c>
      <c r="I680" s="12">
        <v>4904540</v>
      </c>
      <c r="J680" s="10">
        <f>I680/(E680+I680)</f>
        <v>2.1027275714786173E-2</v>
      </c>
    </row>
    <row r="681" spans="1:13">
      <c r="A681" s="3" t="s">
        <v>65</v>
      </c>
      <c r="B681" s="6">
        <f>C681+G681</f>
        <v>5867</v>
      </c>
      <c r="C681" s="7">
        <v>1505</v>
      </c>
      <c r="D681" s="8">
        <f t="shared" si="122"/>
        <v>0.2565195159365945</v>
      </c>
      <c r="E681" s="12">
        <v>3003870</v>
      </c>
      <c r="F681" s="10">
        <f>E681/(E681+I680)</f>
        <v>0.3798323556821156</v>
      </c>
      <c r="G681" s="11">
        <v>4362</v>
      </c>
      <c r="H681" s="10">
        <f t="shared" si="123"/>
        <v>0.7434804840634055</v>
      </c>
      <c r="I681" s="13">
        <v>1299442</v>
      </c>
      <c r="J681" s="10">
        <f>I680/(E681+I680)</f>
        <v>0.6201676443178844</v>
      </c>
    </row>
    <row r="682" spans="1:13" ht="15.75">
      <c r="B682" s="15">
        <f>SUM(B677:B681)</f>
        <v>640919</v>
      </c>
      <c r="C682" s="16">
        <f>SUM(C677:C681)</f>
        <v>90171</v>
      </c>
      <c r="D682" s="17">
        <f t="shared" si="122"/>
        <v>0.14069016521588532</v>
      </c>
      <c r="E682" s="18">
        <f>SUM(E677:E681)</f>
        <v>402152711</v>
      </c>
      <c r="F682" s="10">
        <f>E682/(E682+I682)</f>
        <v>0.47380775347542181</v>
      </c>
      <c r="G682" s="18">
        <f>SUM(G677:G681)</f>
        <v>550748</v>
      </c>
      <c r="H682" s="17">
        <f t="shared" si="123"/>
        <v>0.85930983478411471</v>
      </c>
      <c r="I682" s="18">
        <f>SUM(I677:I681)</f>
        <v>446614976</v>
      </c>
      <c r="J682" s="10">
        <f>I682/(E682+I682)</f>
        <v>0.52619224652457819</v>
      </c>
    </row>
    <row r="683" spans="1:13" ht="15.75">
      <c r="A683" s="1" t="s">
        <v>0</v>
      </c>
      <c r="B683" s="3"/>
      <c r="J683" s="3"/>
    </row>
    <row r="684" spans="1:13" ht="15.75">
      <c r="A684" s="1" t="s">
        <v>79</v>
      </c>
      <c r="B684" s="2"/>
      <c r="C684" s="2" t="s">
        <v>2</v>
      </c>
      <c r="D684" s="2"/>
      <c r="E684" s="2"/>
      <c r="F684" s="2"/>
      <c r="G684" s="2" t="s">
        <v>3</v>
      </c>
      <c r="H684" s="2"/>
      <c r="I684" s="2"/>
      <c r="J684" s="2"/>
    </row>
    <row r="685" spans="1:13">
      <c r="B685" s="4" t="s">
        <v>4</v>
      </c>
      <c r="C685" s="4" t="s">
        <v>5</v>
      </c>
      <c r="D685" s="4"/>
      <c r="E685" s="4" t="s">
        <v>6</v>
      </c>
      <c r="F685" s="5"/>
      <c r="G685" s="4" t="s">
        <v>7</v>
      </c>
      <c r="H685" s="5"/>
      <c r="I685" s="5" t="s">
        <v>6</v>
      </c>
      <c r="J685" s="5"/>
    </row>
    <row r="686" spans="1:13">
      <c r="B686" s="4" t="s">
        <v>8</v>
      </c>
      <c r="C686" s="4" t="s">
        <v>8</v>
      </c>
      <c r="D686" s="4" t="s">
        <v>9</v>
      </c>
      <c r="E686" s="4" t="s">
        <v>8</v>
      </c>
      <c r="F686" s="5" t="s">
        <v>9</v>
      </c>
      <c r="G686" s="5" t="s">
        <v>8</v>
      </c>
      <c r="H686" s="5" t="s">
        <v>9</v>
      </c>
      <c r="I686" s="5" t="s">
        <v>8</v>
      </c>
      <c r="J686" s="5" t="s">
        <v>9</v>
      </c>
    </row>
    <row r="687" spans="1:13">
      <c r="B687" s="4"/>
      <c r="C687" s="4"/>
      <c r="D687" s="4"/>
      <c r="E687" s="4"/>
      <c r="F687" s="4"/>
      <c r="G687" s="4"/>
      <c r="H687" s="4"/>
      <c r="I687" s="4"/>
      <c r="J687" s="4"/>
    </row>
    <row r="688" spans="1:13">
      <c r="A688" s="3" t="s">
        <v>10</v>
      </c>
      <c r="B688" s="6">
        <f>C688+G688</f>
        <v>511567</v>
      </c>
      <c r="C688" s="7">
        <v>61521</v>
      </c>
      <c r="D688" s="8">
        <f t="shared" ref="D688:D693" si="124">C688/B688</f>
        <v>0.12025990730441956</v>
      </c>
      <c r="E688" s="12">
        <v>31502767</v>
      </c>
      <c r="F688" s="10">
        <f>E688/(E688+I688)</f>
        <v>0.12415096034530357</v>
      </c>
      <c r="G688" s="11">
        <v>450046</v>
      </c>
      <c r="H688" s="10">
        <f t="shared" ref="H688:H693" si="125">G688/B688</f>
        <v>0.8797400926955804</v>
      </c>
      <c r="I688" s="12">
        <v>222242890</v>
      </c>
      <c r="J688" s="10">
        <f>I688/(E688+I688)</f>
        <v>0.8758490396546964</v>
      </c>
    </row>
    <row r="689" spans="1:13">
      <c r="A689" s="3" t="s">
        <v>11</v>
      </c>
      <c r="B689" s="6">
        <f>C689+G689</f>
        <v>52044</v>
      </c>
      <c r="C689" s="7">
        <v>14145</v>
      </c>
      <c r="D689" s="8">
        <f t="shared" si="124"/>
        <v>0.27178925524556147</v>
      </c>
      <c r="E689" s="12">
        <v>11262025</v>
      </c>
      <c r="F689" s="10">
        <f>E689/(E689+I689)</f>
        <v>0.27124183494525417</v>
      </c>
      <c r="G689" s="11">
        <v>37899</v>
      </c>
      <c r="H689" s="10">
        <f t="shared" si="125"/>
        <v>0.72821074475443859</v>
      </c>
      <c r="I689" s="12">
        <v>30258211</v>
      </c>
      <c r="J689" s="10">
        <f>I689/(E689+I689)</f>
        <v>0.72875816505474589</v>
      </c>
      <c r="M689" s="19"/>
    </row>
    <row r="690" spans="1:13">
      <c r="A690" s="3" t="s">
        <v>12</v>
      </c>
      <c r="B690" s="6">
        <f>C690+G690</f>
        <v>10188</v>
      </c>
      <c r="C690" s="7">
        <v>4609</v>
      </c>
      <c r="D690" s="8">
        <f t="shared" si="124"/>
        <v>0.45239497447978011</v>
      </c>
      <c r="E690" s="12">
        <v>85297430</v>
      </c>
      <c r="F690" s="10">
        <f>E690/(E690+I690)</f>
        <v>0.6307463705442361</v>
      </c>
      <c r="G690" s="11">
        <v>5579</v>
      </c>
      <c r="H690" s="10">
        <f t="shared" si="125"/>
        <v>0.54760502552021983</v>
      </c>
      <c r="I690" s="12">
        <v>49935104</v>
      </c>
      <c r="J690" s="10">
        <f>I690/(E690+I690)</f>
        <v>0.36925362945576395</v>
      </c>
      <c r="M690" s="19">
        <f>I936+E936</f>
        <v>0</v>
      </c>
    </row>
    <row r="691" spans="1:13">
      <c r="A691" s="3" t="s">
        <v>13</v>
      </c>
      <c r="B691" s="6">
        <f>C691+G691</f>
        <v>339</v>
      </c>
      <c r="C691" s="7">
        <v>298</v>
      </c>
      <c r="D691" s="8">
        <f t="shared" si="124"/>
        <v>0.87905604719764008</v>
      </c>
      <c r="E691" s="12">
        <v>129862414</v>
      </c>
      <c r="F691" s="10">
        <f>E691/(E691+I691)</f>
        <v>0.97200218683702366</v>
      </c>
      <c r="G691" s="11">
        <v>41</v>
      </c>
      <c r="H691" s="10">
        <f t="shared" si="125"/>
        <v>0.12094395280235988</v>
      </c>
      <c r="I691" s="12">
        <v>3740592</v>
      </c>
      <c r="J691" s="10">
        <f>I691/(E691+I691)</f>
        <v>2.7997813162976289E-2</v>
      </c>
    </row>
    <row r="692" spans="1:13">
      <c r="A692" s="3" t="s">
        <v>65</v>
      </c>
      <c r="B692" s="6">
        <f>C692+G692</f>
        <v>5334</v>
      </c>
      <c r="C692" s="7">
        <v>1359</v>
      </c>
      <c r="D692" s="8">
        <f t="shared" si="124"/>
        <v>0.25478065241844772</v>
      </c>
      <c r="E692" s="12">
        <v>2458885</v>
      </c>
      <c r="F692" s="10">
        <f>E692/(E692+I691)</f>
        <v>0.3966278123138452</v>
      </c>
      <c r="G692" s="11">
        <v>3975</v>
      </c>
      <c r="H692" s="10">
        <f t="shared" si="125"/>
        <v>0.74521934758155228</v>
      </c>
      <c r="I692" s="13">
        <v>411730</v>
      </c>
      <c r="J692" s="10">
        <f>I691/(E692+I691)</f>
        <v>0.60337218768615486</v>
      </c>
    </row>
    <row r="693" spans="1:13" ht="15.75">
      <c r="B693" s="15">
        <f>SUM(B688:B692)</f>
        <v>579472</v>
      </c>
      <c r="C693" s="16">
        <f>SUM(C688:C692)</f>
        <v>81932</v>
      </c>
      <c r="D693" s="17">
        <f t="shared" si="124"/>
        <v>0.14139078333379351</v>
      </c>
      <c r="E693" s="18">
        <f>SUM(E688:E692)</f>
        <v>260383521</v>
      </c>
      <c r="F693" s="10">
        <f>E693/(E693+I693)</f>
        <v>0.45925283604104589</v>
      </c>
      <c r="G693" s="18">
        <f>SUM(G688:G692)</f>
        <v>497540</v>
      </c>
      <c r="H693" s="17">
        <f t="shared" si="125"/>
        <v>0.85860921666620649</v>
      </c>
      <c r="I693" s="18">
        <f>SUM(I688:I692)</f>
        <v>306588527</v>
      </c>
      <c r="J693" s="10">
        <f>I693/(E693+I693)</f>
        <v>0.54074716395895406</v>
      </c>
    </row>
    <row r="694" spans="1:13" ht="15.75">
      <c r="A694" s="1" t="s">
        <v>0</v>
      </c>
      <c r="B694" s="3"/>
      <c r="J694" s="3"/>
    </row>
    <row r="695" spans="1:13" ht="15.75">
      <c r="A695" s="1" t="s">
        <v>80</v>
      </c>
      <c r="B695" s="2"/>
      <c r="C695" s="2" t="s">
        <v>2</v>
      </c>
      <c r="D695" s="2"/>
      <c r="E695" s="2"/>
      <c r="F695" s="2"/>
      <c r="G695" s="2" t="s">
        <v>3</v>
      </c>
      <c r="H695" s="2"/>
      <c r="I695" s="2"/>
      <c r="J695" s="2"/>
    </row>
    <row r="696" spans="1:13">
      <c r="B696" s="4" t="s">
        <v>4</v>
      </c>
      <c r="C696" s="4" t="s">
        <v>5</v>
      </c>
      <c r="D696" s="4"/>
      <c r="E696" s="4" t="s">
        <v>6</v>
      </c>
      <c r="F696" s="5"/>
      <c r="G696" s="4" t="s">
        <v>7</v>
      </c>
      <c r="H696" s="5"/>
      <c r="I696" s="5" t="s">
        <v>6</v>
      </c>
      <c r="J696" s="5"/>
    </row>
    <row r="697" spans="1:13">
      <c r="B697" s="4" t="s">
        <v>8</v>
      </c>
      <c r="C697" s="4" t="s">
        <v>8</v>
      </c>
      <c r="D697" s="4" t="s">
        <v>9</v>
      </c>
      <c r="E697" s="4" t="s">
        <v>8</v>
      </c>
      <c r="F697" s="5" t="s">
        <v>9</v>
      </c>
      <c r="G697" s="5" t="s">
        <v>8</v>
      </c>
      <c r="H697" s="5" t="s">
        <v>9</v>
      </c>
      <c r="I697" s="5" t="s">
        <v>8</v>
      </c>
      <c r="J697" s="5" t="s">
        <v>9</v>
      </c>
    </row>
    <row r="698" spans="1:13">
      <c r="B698" s="4"/>
      <c r="C698" s="4"/>
      <c r="D698" s="4"/>
      <c r="E698" s="4"/>
      <c r="F698" s="4"/>
      <c r="G698" s="4"/>
      <c r="H698" s="4"/>
      <c r="I698" s="4"/>
      <c r="J698" s="4"/>
    </row>
    <row r="699" spans="1:13">
      <c r="A699" s="3" t="s">
        <v>10</v>
      </c>
      <c r="B699" s="6">
        <f>C699+G699</f>
        <v>566072</v>
      </c>
      <c r="C699" s="7">
        <v>68588</v>
      </c>
      <c r="D699" s="8">
        <f t="shared" ref="D699:D704" si="126">C699/B699</f>
        <v>0.12116479882417784</v>
      </c>
      <c r="E699" s="12">
        <v>35076124</v>
      </c>
      <c r="F699" s="10">
        <f>E699/(E699+I699)</f>
        <v>0.12691566453150402</v>
      </c>
      <c r="G699" s="11">
        <v>497484</v>
      </c>
      <c r="H699" s="10">
        <f t="shared" ref="H699:H704" si="127">G699/B699</f>
        <v>0.87883520117582214</v>
      </c>
      <c r="I699" s="12">
        <v>241297357</v>
      </c>
      <c r="J699" s="10">
        <f>I699/(E699+I699)</f>
        <v>0.87308433546849595</v>
      </c>
    </row>
    <row r="700" spans="1:13">
      <c r="A700" s="3" t="s">
        <v>11</v>
      </c>
      <c r="B700" s="6">
        <f>C700+G700</f>
        <v>57927</v>
      </c>
      <c r="C700" s="7">
        <v>15847</v>
      </c>
      <c r="D700" s="8">
        <f t="shared" si="126"/>
        <v>0.27356845685086401</v>
      </c>
      <c r="E700" s="12">
        <v>15183793</v>
      </c>
      <c r="F700" s="10">
        <f>E700/(E700+I700)</f>
        <v>0.29802352788865216</v>
      </c>
      <c r="G700" s="11">
        <v>42080</v>
      </c>
      <c r="H700" s="10">
        <f t="shared" si="127"/>
        <v>0.72643154314913594</v>
      </c>
      <c r="I700" s="12">
        <v>35764510</v>
      </c>
      <c r="J700" s="10">
        <f>I700/(E700+I700)</f>
        <v>0.70197647211134784</v>
      </c>
      <c r="M700" s="19"/>
    </row>
    <row r="701" spans="1:13">
      <c r="A701" s="3" t="s">
        <v>12</v>
      </c>
      <c r="B701" s="6">
        <f>C701+G701</f>
        <v>11455</v>
      </c>
      <c r="C701" s="7">
        <v>5153</v>
      </c>
      <c r="D701" s="8">
        <f t="shared" si="126"/>
        <v>0.44984722828459189</v>
      </c>
      <c r="E701" s="12">
        <v>104858194</v>
      </c>
      <c r="F701" s="10">
        <f>E701/(E701+I701)</f>
        <v>0.61070324738454373</v>
      </c>
      <c r="G701" s="11">
        <v>6302</v>
      </c>
      <c r="H701" s="10">
        <f t="shared" si="127"/>
        <v>0.55015277171540811</v>
      </c>
      <c r="I701" s="12">
        <v>66842537</v>
      </c>
      <c r="J701" s="10">
        <f>I701/(E701+I701)</f>
        <v>0.38929675261545627</v>
      </c>
      <c r="M701" s="19">
        <f>I958+E958</f>
        <v>0</v>
      </c>
    </row>
    <row r="702" spans="1:13">
      <c r="A702" s="3" t="s">
        <v>13</v>
      </c>
      <c r="B702" s="6">
        <f>C702+G702</f>
        <v>412</v>
      </c>
      <c r="C702" s="7">
        <v>358</v>
      </c>
      <c r="D702" s="8">
        <f t="shared" si="126"/>
        <v>0.8689320388349514</v>
      </c>
      <c r="E702" s="12">
        <v>290496371</v>
      </c>
      <c r="F702" s="10">
        <f>E702/(E702+I702)</f>
        <v>0.98176562679140666</v>
      </c>
      <c r="G702" s="11">
        <v>54</v>
      </c>
      <c r="H702" s="10">
        <f t="shared" si="127"/>
        <v>0.13106796116504854</v>
      </c>
      <c r="I702" s="12">
        <v>5395401</v>
      </c>
      <c r="J702" s="10">
        <f>I702/(E702+I702)</f>
        <v>1.8234373208593311E-2</v>
      </c>
    </row>
    <row r="703" spans="1:13">
      <c r="A703" s="3" t="s">
        <v>65</v>
      </c>
      <c r="B703" s="6">
        <f>C703+G703</f>
        <v>5438</v>
      </c>
      <c r="C703" s="7">
        <v>1494</v>
      </c>
      <c r="D703" s="8">
        <f t="shared" si="126"/>
        <v>0.27473335785215153</v>
      </c>
      <c r="E703" s="12">
        <v>2292325</v>
      </c>
      <c r="F703" s="10">
        <f>E703/(E703+I702)</f>
        <v>0.29817985188337875</v>
      </c>
      <c r="G703" s="11">
        <v>3944</v>
      </c>
      <c r="H703" s="10">
        <f t="shared" si="127"/>
        <v>0.72526664214784853</v>
      </c>
      <c r="I703" s="13">
        <v>908980</v>
      </c>
      <c r="J703" s="10">
        <f>I702/(E703+I702)</f>
        <v>0.70182014811662119</v>
      </c>
    </row>
    <row r="704" spans="1:13" ht="15.75">
      <c r="B704" s="15">
        <f>SUM(B699:B703)</f>
        <v>641304</v>
      </c>
      <c r="C704" s="16">
        <f>SUM(C699:C703)</f>
        <v>91440</v>
      </c>
      <c r="D704" s="17">
        <f t="shared" si="126"/>
        <v>0.14258448411361851</v>
      </c>
      <c r="E704" s="18">
        <f>SUM(E699:E703)</f>
        <v>447906807</v>
      </c>
      <c r="F704" s="10">
        <f>E704/(E704+I704)</f>
        <v>0.56120543376127907</v>
      </c>
      <c r="G704" s="18">
        <f>SUM(G699:G703)</f>
        <v>549864</v>
      </c>
      <c r="H704" s="17">
        <f t="shared" si="127"/>
        <v>0.85741551588638154</v>
      </c>
      <c r="I704" s="18">
        <f>SUM(I699:I703)</f>
        <v>350208785</v>
      </c>
      <c r="J704" s="10">
        <f>I704/(E704+I704)</f>
        <v>0.43879456623872098</v>
      </c>
    </row>
    <row r="705" spans="1:13" ht="15.75">
      <c r="A705" s="1" t="s">
        <v>0</v>
      </c>
      <c r="B705" s="3"/>
      <c r="J705" s="3"/>
    </row>
    <row r="706" spans="1:13" ht="15.75">
      <c r="A706" s="1" t="s">
        <v>81</v>
      </c>
      <c r="B706" s="2"/>
      <c r="C706" s="2" t="s">
        <v>2</v>
      </c>
      <c r="D706" s="2"/>
      <c r="E706" s="2"/>
      <c r="F706" s="2"/>
      <c r="G706" s="2" t="s">
        <v>3</v>
      </c>
      <c r="H706" s="2"/>
      <c r="I706" s="2"/>
      <c r="J706" s="2"/>
    </row>
    <row r="707" spans="1:13">
      <c r="B707" s="4" t="s">
        <v>4</v>
      </c>
      <c r="C707" s="4" t="s">
        <v>5</v>
      </c>
      <c r="D707" s="4"/>
      <c r="E707" s="4" t="s">
        <v>6</v>
      </c>
      <c r="F707" s="5"/>
      <c r="G707" s="4" t="s">
        <v>7</v>
      </c>
      <c r="H707" s="5"/>
      <c r="I707" s="5" t="s">
        <v>6</v>
      </c>
      <c r="J707" s="5"/>
    </row>
    <row r="708" spans="1:13">
      <c r="B708" s="4" t="s">
        <v>8</v>
      </c>
      <c r="C708" s="4" t="s">
        <v>8</v>
      </c>
      <c r="D708" s="4" t="s">
        <v>9</v>
      </c>
      <c r="E708" s="4" t="s">
        <v>8</v>
      </c>
      <c r="F708" s="5" t="s">
        <v>9</v>
      </c>
      <c r="G708" s="5" t="s">
        <v>8</v>
      </c>
      <c r="H708" s="5" t="s">
        <v>9</v>
      </c>
      <c r="I708" s="5" t="s">
        <v>8</v>
      </c>
      <c r="J708" s="5" t="s">
        <v>9</v>
      </c>
    </row>
    <row r="709" spans="1:13">
      <c r="B709" s="4"/>
      <c r="C709" s="4"/>
      <c r="D709" s="4"/>
      <c r="E709" s="4"/>
      <c r="F709" s="4"/>
      <c r="G709" s="4"/>
      <c r="H709" s="4"/>
      <c r="I709" s="4"/>
      <c r="J709" s="4"/>
    </row>
    <row r="710" spans="1:13">
      <c r="A710" s="3" t="s">
        <v>10</v>
      </c>
      <c r="B710" s="6">
        <f>C710+G710</f>
        <v>539273</v>
      </c>
      <c r="C710" s="7">
        <v>65206</v>
      </c>
      <c r="D710" s="8">
        <f t="shared" ref="D710:D715" si="128">C710/B710</f>
        <v>0.12091463878221236</v>
      </c>
      <c r="E710" s="12">
        <v>37361628</v>
      </c>
      <c r="F710" s="10">
        <f>E710/(E710+I710)</f>
        <v>0.12863368073345849</v>
      </c>
      <c r="G710" s="11">
        <v>474067</v>
      </c>
      <c r="H710" s="10">
        <f t="shared" ref="H710:H715" si="129">G710/B710</f>
        <v>0.87908536121778769</v>
      </c>
      <c r="I710" s="12">
        <v>253088181</v>
      </c>
      <c r="J710" s="10">
        <f>I710/(E710+I710)</f>
        <v>0.87136631926654151</v>
      </c>
    </row>
    <row r="711" spans="1:13">
      <c r="A711" s="3" t="s">
        <v>11</v>
      </c>
      <c r="B711" s="6">
        <f>C711+G711</f>
        <v>54695</v>
      </c>
      <c r="C711" s="7">
        <v>14830</v>
      </c>
      <c r="D711" s="8">
        <f t="shared" si="128"/>
        <v>0.27113995794862417</v>
      </c>
      <c r="E711" s="12">
        <v>12171847</v>
      </c>
      <c r="F711" s="10">
        <f>E711/(E711+I711)</f>
        <v>0.24055474296930301</v>
      </c>
      <c r="G711" s="11">
        <v>39865</v>
      </c>
      <c r="H711" s="10">
        <f t="shared" si="129"/>
        <v>0.72886004205137578</v>
      </c>
      <c r="I711" s="12">
        <v>38427226</v>
      </c>
      <c r="J711" s="10">
        <f>I711/(E711+I711)</f>
        <v>0.75944525703069699</v>
      </c>
      <c r="M711" s="19"/>
    </row>
    <row r="712" spans="1:13">
      <c r="A712" s="3" t="s">
        <v>12</v>
      </c>
      <c r="B712" s="6">
        <f>C712+G712</f>
        <v>10815</v>
      </c>
      <c r="C712" s="7">
        <v>4851</v>
      </c>
      <c r="D712" s="8">
        <f t="shared" si="128"/>
        <v>0.44854368932038835</v>
      </c>
      <c r="E712" s="12">
        <v>105490147</v>
      </c>
      <c r="F712" s="10">
        <f>E712/(E712+I712)</f>
        <v>0.6017564830271851</v>
      </c>
      <c r="G712" s="11">
        <v>5964</v>
      </c>
      <c r="H712" s="10">
        <f t="shared" si="129"/>
        <v>0.55145631067961165</v>
      </c>
      <c r="I712" s="12">
        <v>69813568</v>
      </c>
      <c r="J712" s="10">
        <f>I712/(E712+I712)</f>
        <v>0.39824351697281485</v>
      </c>
      <c r="M712" s="19">
        <f>I969+E969</f>
        <v>0</v>
      </c>
    </row>
    <row r="713" spans="1:13">
      <c r="A713" s="3" t="s">
        <v>13</v>
      </c>
      <c r="B713" s="6">
        <f>C713+G713</f>
        <v>357</v>
      </c>
      <c r="C713" s="7">
        <v>316</v>
      </c>
      <c r="D713" s="8">
        <f t="shared" si="128"/>
        <v>0.88515406162464982</v>
      </c>
      <c r="E713" s="12">
        <v>159338155</v>
      </c>
      <c r="F713" s="10">
        <f>E713/(E713+I713)</f>
        <v>0.97541203509185515</v>
      </c>
      <c r="G713" s="11">
        <v>41</v>
      </c>
      <c r="H713" s="10">
        <f t="shared" si="129"/>
        <v>0.11484593837535013</v>
      </c>
      <c r="I713" s="12">
        <v>4016560</v>
      </c>
      <c r="J713" s="10">
        <f>I713/(E713+I713)</f>
        <v>2.4587964908144831E-2</v>
      </c>
    </row>
    <row r="714" spans="1:13">
      <c r="A714" s="3" t="s">
        <v>65</v>
      </c>
      <c r="B714" s="6">
        <f>C714+G714</f>
        <v>5652</v>
      </c>
      <c r="C714" s="7">
        <v>1419</v>
      </c>
      <c r="D714" s="8">
        <f t="shared" si="128"/>
        <v>0.25106157112526539</v>
      </c>
      <c r="E714" s="12">
        <v>2175277</v>
      </c>
      <c r="F714" s="10">
        <f>E714/(E714+I713)</f>
        <v>0.35131367314740358</v>
      </c>
      <c r="G714" s="11">
        <v>4233</v>
      </c>
      <c r="H714" s="10">
        <f t="shared" si="129"/>
        <v>0.74893842887473461</v>
      </c>
      <c r="I714" s="13">
        <v>895808</v>
      </c>
      <c r="J714" s="10">
        <f>I713/(E714+I713)</f>
        <v>0.64868632685259642</v>
      </c>
    </row>
    <row r="715" spans="1:13" ht="15.75">
      <c r="B715" s="15">
        <f>SUM(B710:B714)</f>
        <v>610792</v>
      </c>
      <c r="C715" s="16">
        <f>SUM(C710:C714)</f>
        <v>86622</v>
      </c>
      <c r="D715" s="17">
        <f t="shared" si="128"/>
        <v>0.14181914628875297</v>
      </c>
      <c r="E715" s="18">
        <f>SUM(E710:E714)</f>
        <v>316537054</v>
      </c>
      <c r="F715" s="10">
        <f>E715/(E715+I715)</f>
        <v>0.46360144871425979</v>
      </c>
      <c r="G715" s="18">
        <f>SUM(G710:G714)</f>
        <v>524170</v>
      </c>
      <c r="H715" s="17">
        <f t="shared" si="129"/>
        <v>0.85818085371124708</v>
      </c>
      <c r="I715" s="18">
        <f>SUM(I710:I714)</f>
        <v>366241343</v>
      </c>
      <c r="J715" s="10">
        <f>I715/(E715+I715)</f>
        <v>0.53639855128574021</v>
      </c>
    </row>
    <row r="716" spans="1:13" ht="15.75">
      <c r="A716" s="1" t="s">
        <v>0</v>
      </c>
      <c r="B716" s="3"/>
      <c r="J716" s="3"/>
    </row>
    <row r="717" spans="1:13" ht="15.75">
      <c r="A717" s="1" t="s">
        <v>82</v>
      </c>
      <c r="B717" s="2"/>
      <c r="C717" s="2" t="s">
        <v>2</v>
      </c>
      <c r="D717" s="2"/>
      <c r="E717" s="2"/>
      <c r="F717" s="2"/>
      <c r="G717" s="2" t="s">
        <v>3</v>
      </c>
      <c r="H717" s="2"/>
      <c r="I717" s="2"/>
      <c r="J717" s="2"/>
    </row>
    <row r="718" spans="1:13">
      <c r="B718" s="4" t="s">
        <v>4</v>
      </c>
      <c r="C718" s="4" t="s">
        <v>5</v>
      </c>
      <c r="D718" s="4"/>
      <c r="E718" s="4" t="s">
        <v>6</v>
      </c>
      <c r="F718" s="5"/>
      <c r="G718" s="4" t="s">
        <v>7</v>
      </c>
      <c r="H718" s="5"/>
      <c r="I718" s="5" t="s">
        <v>6</v>
      </c>
      <c r="J718" s="5"/>
    </row>
    <row r="719" spans="1:13">
      <c r="B719" s="4" t="s">
        <v>8</v>
      </c>
      <c r="C719" s="4" t="s">
        <v>8</v>
      </c>
      <c r="D719" s="4" t="s">
        <v>9</v>
      </c>
      <c r="E719" s="4" t="s">
        <v>8</v>
      </c>
      <c r="F719" s="5" t="s">
        <v>9</v>
      </c>
      <c r="G719" s="5" t="s">
        <v>8</v>
      </c>
      <c r="H719" s="5" t="s">
        <v>9</v>
      </c>
      <c r="I719" s="5" t="s">
        <v>8</v>
      </c>
      <c r="J719" s="5" t="s">
        <v>9</v>
      </c>
    </row>
    <row r="720" spans="1:13">
      <c r="B720" s="4"/>
      <c r="C720" s="4"/>
      <c r="D720" s="4"/>
      <c r="E720" s="4"/>
      <c r="F720" s="4"/>
      <c r="G720" s="4"/>
      <c r="H720" s="4"/>
      <c r="I720" s="4"/>
      <c r="J720" s="4"/>
    </row>
    <row r="721" spans="1:13">
      <c r="A721" s="3" t="s">
        <v>10</v>
      </c>
      <c r="B721" s="6">
        <f>C721+G721</f>
        <v>564703</v>
      </c>
      <c r="C721" s="7">
        <v>71115</v>
      </c>
      <c r="D721" s="8">
        <f t="shared" ref="D721:D726" si="130">C721/B721</f>
        <v>0.12593345528534469</v>
      </c>
      <c r="E721" s="12">
        <v>47835449</v>
      </c>
      <c r="F721" s="10">
        <f>E721/(E721+I721)</f>
        <v>0.13466688207910493</v>
      </c>
      <c r="G721" s="11">
        <v>493588</v>
      </c>
      <c r="H721" s="10">
        <f t="shared" ref="H721:H726" si="131">G721/B721</f>
        <v>0.87406654471465528</v>
      </c>
      <c r="I721" s="12">
        <v>307377713</v>
      </c>
      <c r="J721" s="10">
        <f>I721/(E721+I721)</f>
        <v>0.86533311792089507</v>
      </c>
    </row>
    <row r="722" spans="1:13">
      <c r="A722" s="3" t="s">
        <v>11</v>
      </c>
      <c r="B722" s="6">
        <f>C722+G722</f>
        <v>57516</v>
      </c>
      <c r="C722" s="7">
        <v>15801</v>
      </c>
      <c r="D722" s="8">
        <f t="shared" si="130"/>
        <v>0.27472355518464425</v>
      </c>
      <c r="E722" s="12">
        <v>16531845</v>
      </c>
      <c r="F722" s="10">
        <f>E722/(E722+I722)</f>
        <v>0.26783754071895416</v>
      </c>
      <c r="G722" s="11">
        <v>41715</v>
      </c>
      <c r="H722" s="10">
        <f t="shared" si="131"/>
        <v>0.72527644481535569</v>
      </c>
      <c r="I722" s="12">
        <v>45191560</v>
      </c>
      <c r="J722" s="10">
        <f>I722/(E722+I722)</f>
        <v>0.73216245928104584</v>
      </c>
      <c r="M722" s="19"/>
    </row>
    <row r="723" spans="1:13">
      <c r="A723" s="3" t="s">
        <v>12</v>
      </c>
      <c r="B723" s="6">
        <f>C723+G723</f>
        <v>11375</v>
      </c>
      <c r="C723" s="7">
        <v>5111</v>
      </c>
      <c r="D723" s="8">
        <f t="shared" si="130"/>
        <v>0.4493186813186813</v>
      </c>
      <c r="E723" s="12">
        <v>114268792</v>
      </c>
      <c r="F723" s="10">
        <f>E723/(E723+I723)</f>
        <v>0.58915318288022678</v>
      </c>
      <c r="G723" s="11">
        <v>6264</v>
      </c>
      <c r="H723" s="10">
        <f t="shared" si="131"/>
        <v>0.55068131868131864</v>
      </c>
      <c r="I723" s="12">
        <v>79685506</v>
      </c>
      <c r="J723" s="10">
        <f>I723/(E723+I723)</f>
        <v>0.41084681711977322</v>
      </c>
      <c r="M723" s="19">
        <f>I980+E980</f>
        <v>790374157</v>
      </c>
    </row>
    <row r="724" spans="1:13">
      <c r="A724" s="3" t="s">
        <v>13</v>
      </c>
      <c r="B724" s="6">
        <f>C724+G724</f>
        <v>409</v>
      </c>
      <c r="C724" s="7">
        <v>358</v>
      </c>
      <c r="D724" s="8">
        <f t="shared" si="130"/>
        <v>0.87530562347188268</v>
      </c>
      <c r="E724" s="12">
        <v>241405061</v>
      </c>
      <c r="F724" s="10">
        <f>E724/(E724+I724)</f>
        <v>0.97828792608940851</v>
      </c>
      <c r="G724" s="11">
        <v>51</v>
      </c>
      <c r="H724" s="10">
        <f t="shared" si="131"/>
        <v>0.12469437652811736</v>
      </c>
      <c r="I724" s="12">
        <v>5357732</v>
      </c>
      <c r="J724" s="10">
        <f>I724/(E724+I724)</f>
        <v>2.1712073910591538E-2</v>
      </c>
    </row>
    <row r="725" spans="1:13">
      <c r="A725" s="3" t="s">
        <v>65</v>
      </c>
      <c r="B725" s="6">
        <f>C725+G725</f>
        <v>5886</v>
      </c>
      <c r="C725" s="7">
        <v>1494</v>
      </c>
      <c r="D725" s="8">
        <f t="shared" si="130"/>
        <v>0.25382262996941896</v>
      </c>
      <c r="E725" s="12">
        <v>1675362</v>
      </c>
      <c r="F725" s="10">
        <f>E725/(E725+I724)</f>
        <v>0.23821123391781768</v>
      </c>
      <c r="G725" s="11">
        <v>4392</v>
      </c>
      <c r="H725" s="10">
        <f t="shared" si="131"/>
        <v>0.74617737003058104</v>
      </c>
      <c r="I725" s="13">
        <v>728335</v>
      </c>
      <c r="J725" s="10">
        <f>I724/(E725+I724)</f>
        <v>0.76178876608218238</v>
      </c>
    </row>
    <row r="726" spans="1:13" ht="15.75">
      <c r="B726" s="15">
        <f>SUM(B721:B725)</f>
        <v>639889</v>
      </c>
      <c r="C726" s="16">
        <f>SUM(C721:C725)</f>
        <v>93879</v>
      </c>
      <c r="D726" s="17">
        <f t="shared" si="130"/>
        <v>0.14671138275544665</v>
      </c>
      <c r="E726" s="18">
        <f>SUM(E721:E725)</f>
        <v>421716509</v>
      </c>
      <c r="F726" s="10">
        <f>E726/(E726+I726)</f>
        <v>0.49033533234536436</v>
      </c>
      <c r="G726" s="18">
        <f>SUM(G721:G725)</f>
        <v>546010</v>
      </c>
      <c r="H726" s="17">
        <f t="shared" si="131"/>
        <v>0.8532886172445534</v>
      </c>
      <c r="I726" s="18">
        <f>SUM(I721:I725)</f>
        <v>438340846</v>
      </c>
      <c r="J726" s="10">
        <f>I726/(E726+I726)</f>
        <v>0.50966466765463569</v>
      </c>
    </row>
    <row r="727" spans="1:13" ht="15.75">
      <c r="A727" s="1" t="s">
        <v>0</v>
      </c>
      <c r="B727" s="3"/>
      <c r="J727" s="3"/>
    </row>
    <row r="728" spans="1:13" ht="15.75">
      <c r="A728" s="1" t="s">
        <v>83</v>
      </c>
      <c r="B728" s="2"/>
      <c r="C728" s="2" t="s">
        <v>2</v>
      </c>
      <c r="D728" s="2"/>
      <c r="E728" s="2"/>
      <c r="F728" s="2"/>
      <c r="G728" s="2" t="s">
        <v>3</v>
      </c>
      <c r="H728" s="2"/>
      <c r="I728" s="2"/>
      <c r="J728" s="2"/>
    </row>
    <row r="729" spans="1:13">
      <c r="B729" s="4" t="s">
        <v>4</v>
      </c>
      <c r="C729" s="4" t="s">
        <v>5</v>
      </c>
      <c r="D729" s="4"/>
      <c r="E729" s="4" t="s">
        <v>6</v>
      </c>
      <c r="F729" s="5"/>
      <c r="G729" s="4" t="s">
        <v>7</v>
      </c>
      <c r="H729" s="5"/>
      <c r="I729" s="5" t="s">
        <v>6</v>
      </c>
      <c r="J729" s="5"/>
    </row>
    <row r="730" spans="1:13">
      <c r="B730" s="4" t="s">
        <v>8</v>
      </c>
      <c r="C730" s="4" t="s">
        <v>8</v>
      </c>
      <c r="D730" s="4" t="s">
        <v>9</v>
      </c>
      <c r="E730" s="4" t="s">
        <v>8</v>
      </c>
      <c r="F730" s="5" t="s">
        <v>9</v>
      </c>
      <c r="G730" s="5" t="s">
        <v>8</v>
      </c>
      <c r="H730" s="5" t="s">
        <v>9</v>
      </c>
      <c r="I730" s="5" t="s">
        <v>8</v>
      </c>
      <c r="J730" s="5" t="s">
        <v>9</v>
      </c>
    </row>
    <row r="731" spans="1:13">
      <c r="B731" s="4"/>
      <c r="C731" s="4"/>
      <c r="D731" s="4"/>
      <c r="E731" s="4"/>
      <c r="F731" s="4"/>
      <c r="G731" s="4"/>
      <c r="H731" s="4"/>
      <c r="I731" s="4"/>
      <c r="J731" s="4"/>
    </row>
    <row r="732" spans="1:13">
      <c r="A732" s="3" t="s">
        <v>10</v>
      </c>
      <c r="B732" s="6">
        <f>C732+G732</f>
        <v>565411</v>
      </c>
      <c r="C732" s="7">
        <v>72935</v>
      </c>
      <c r="D732" s="8">
        <f t="shared" ref="D732:D737" si="132">C732/B732</f>
        <v>0.12899466052128453</v>
      </c>
      <c r="E732" s="12">
        <v>43135009</v>
      </c>
      <c r="F732" s="10">
        <f>E732/(E732+I732)</f>
        <v>0.13758701471792567</v>
      </c>
      <c r="G732" s="11">
        <v>492476</v>
      </c>
      <c r="H732" s="10">
        <f t="shared" ref="H732:H737" si="133">G732/B732</f>
        <v>0.8710053394787155</v>
      </c>
      <c r="I732" s="12">
        <v>270375747</v>
      </c>
      <c r="J732" s="10">
        <f>I732/(E732+I732)</f>
        <v>0.86241298528207433</v>
      </c>
    </row>
    <row r="733" spans="1:13">
      <c r="A733" s="3" t="s">
        <v>11</v>
      </c>
      <c r="B733" s="6">
        <f>C733+G733</f>
        <v>57257</v>
      </c>
      <c r="C733" s="7">
        <v>15555</v>
      </c>
      <c r="D733" s="8">
        <f t="shared" si="132"/>
        <v>0.27166983949560752</v>
      </c>
      <c r="E733" s="12">
        <v>14110189</v>
      </c>
      <c r="F733" s="10">
        <f>E733/(E733+I733)</f>
        <v>0.25478367548643349</v>
      </c>
      <c r="G733" s="11">
        <v>41702</v>
      </c>
      <c r="H733" s="10">
        <f t="shared" si="133"/>
        <v>0.72833016050439248</v>
      </c>
      <c r="I733" s="12">
        <v>41270867</v>
      </c>
      <c r="J733" s="10">
        <f>I733/(E733+I733)</f>
        <v>0.74521632451356656</v>
      </c>
      <c r="M733" s="19"/>
    </row>
    <row r="734" spans="1:13">
      <c r="A734" s="3" t="s">
        <v>12</v>
      </c>
      <c r="B734" s="6">
        <f>C734+G734</f>
        <v>11421</v>
      </c>
      <c r="C734" s="7">
        <v>5109</v>
      </c>
      <c r="D734" s="8">
        <f t="shared" si="132"/>
        <v>0.44733385868137643</v>
      </c>
      <c r="E734" s="12">
        <v>109878452</v>
      </c>
      <c r="F734" s="10">
        <f>E734/(E734+I734)</f>
        <v>0.59270997350045274</v>
      </c>
      <c r="G734" s="11">
        <v>6312</v>
      </c>
      <c r="H734" s="10">
        <f t="shared" si="133"/>
        <v>0.55266614131862357</v>
      </c>
      <c r="I734" s="12">
        <v>75504715</v>
      </c>
      <c r="J734" s="10">
        <f>I734/(E734+I734)</f>
        <v>0.40729002649954726</v>
      </c>
      <c r="M734" s="19">
        <f>I991+E991</f>
        <v>745340193</v>
      </c>
    </row>
    <row r="735" spans="1:13">
      <c r="A735" s="3" t="s">
        <v>13</v>
      </c>
      <c r="B735" s="6">
        <f>C735+G735</f>
        <v>409</v>
      </c>
      <c r="C735" s="7">
        <v>357</v>
      </c>
      <c r="D735" s="8">
        <f t="shared" si="132"/>
        <v>0.87286063569682149</v>
      </c>
      <c r="E735" s="12">
        <v>298828451</v>
      </c>
      <c r="F735" s="10">
        <f>E735/(E735+I735)</f>
        <v>0.98250700387971446</v>
      </c>
      <c r="G735" s="11">
        <v>52</v>
      </c>
      <c r="H735" s="10">
        <f t="shared" si="133"/>
        <v>0.12713936430317849</v>
      </c>
      <c r="I735" s="12">
        <v>5320476</v>
      </c>
      <c r="J735" s="10">
        <f>I735/(E735+I735)</f>
        <v>1.7492996120285507E-2</v>
      </c>
    </row>
    <row r="736" spans="1:13">
      <c r="A736" s="3" t="s">
        <v>65</v>
      </c>
      <c r="B736" s="6">
        <f>C736+G736</f>
        <v>5881</v>
      </c>
      <c r="C736" s="7">
        <v>1495</v>
      </c>
      <c r="D736" s="8">
        <f t="shared" si="132"/>
        <v>0.25420846794762797</v>
      </c>
      <c r="E736" s="12">
        <v>1486630</v>
      </c>
      <c r="F736" s="10">
        <f>E736/(E736+I735)</f>
        <v>0.21839383726358896</v>
      </c>
      <c r="G736" s="11">
        <v>4386</v>
      </c>
      <c r="H736" s="10">
        <f t="shared" si="133"/>
        <v>0.74579153205237203</v>
      </c>
      <c r="I736" s="13">
        <v>641819</v>
      </c>
      <c r="J736" s="10">
        <f>I735/(E736+I735)</f>
        <v>0.78160616273641104</v>
      </c>
    </row>
    <row r="737" spans="1:13" ht="15.75">
      <c r="B737" s="15">
        <f>SUM(B732:B736)</f>
        <v>640379</v>
      </c>
      <c r="C737" s="16">
        <f>SUM(C732:C736)</f>
        <v>95451</v>
      </c>
      <c r="D737" s="17">
        <f t="shared" si="132"/>
        <v>0.14905391963196796</v>
      </c>
      <c r="E737" s="18">
        <f>SUM(E732:E736)</f>
        <v>467438731</v>
      </c>
      <c r="F737" s="10">
        <f>E737/(E737+I737)</f>
        <v>0.54318453523957877</v>
      </c>
      <c r="G737" s="18">
        <f>SUM(G732:G736)</f>
        <v>544928</v>
      </c>
      <c r="H737" s="17">
        <f t="shared" si="133"/>
        <v>0.8509460803680321</v>
      </c>
      <c r="I737" s="18">
        <f>SUM(I732:I736)</f>
        <v>393113624</v>
      </c>
      <c r="J737" s="10">
        <f>I737/(E737+I737)</f>
        <v>0.45681546476042123</v>
      </c>
    </row>
    <row r="738" spans="1:13" ht="15.75">
      <c r="A738" s="1" t="s">
        <v>0</v>
      </c>
      <c r="B738" s="3"/>
      <c r="J738" s="3"/>
    </row>
    <row r="739" spans="1:13" ht="15.75">
      <c r="A739" s="1" t="s">
        <v>84</v>
      </c>
      <c r="B739" s="2"/>
      <c r="C739" s="2" t="s">
        <v>2</v>
      </c>
      <c r="D739" s="2"/>
      <c r="E739" s="2"/>
      <c r="F739" s="2"/>
      <c r="G739" s="2" t="s">
        <v>3</v>
      </c>
      <c r="H739" s="2"/>
      <c r="I739" s="2"/>
      <c r="J739" s="2"/>
    </row>
    <row r="740" spans="1:13">
      <c r="B740" s="4" t="s">
        <v>4</v>
      </c>
      <c r="C740" s="4" t="s">
        <v>5</v>
      </c>
      <c r="D740" s="4"/>
      <c r="E740" s="4" t="s">
        <v>6</v>
      </c>
      <c r="F740" s="5"/>
      <c r="G740" s="4" t="s">
        <v>7</v>
      </c>
      <c r="H740" s="5"/>
      <c r="I740" s="5" t="s">
        <v>6</v>
      </c>
      <c r="J740" s="5"/>
    </row>
    <row r="741" spans="1:13">
      <c r="B741" s="4" t="s">
        <v>8</v>
      </c>
      <c r="C741" s="4" t="s">
        <v>8</v>
      </c>
      <c r="D741" s="4" t="s">
        <v>9</v>
      </c>
      <c r="E741" s="4" t="s">
        <v>8</v>
      </c>
      <c r="F741" s="5" t="s">
        <v>9</v>
      </c>
      <c r="G741" s="5" t="s">
        <v>8</v>
      </c>
      <c r="H741" s="5" t="s">
        <v>9</v>
      </c>
      <c r="I741" s="5" t="s">
        <v>8</v>
      </c>
      <c r="J741" s="5" t="s">
        <v>9</v>
      </c>
    </row>
    <row r="742" spans="1:13">
      <c r="B742" s="4"/>
      <c r="C742" s="4"/>
      <c r="D742" s="4"/>
      <c r="E742" s="4"/>
      <c r="F742" s="4"/>
      <c r="G742" s="4"/>
      <c r="H742" s="4"/>
      <c r="I742" s="4"/>
      <c r="J742" s="4"/>
    </row>
    <row r="743" spans="1:13">
      <c r="A743" s="3" t="s">
        <v>10</v>
      </c>
      <c r="B743" s="6">
        <f>C743+G743</f>
        <v>535551</v>
      </c>
      <c r="C743" s="7">
        <v>69266</v>
      </c>
      <c r="D743" s="8">
        <f t="shared" ref="D743:D748" si="134">C743/B743</f>
        <v>0.12933595493239672</v>
      </c>
      <c r="E743" s="12">
        <v>36052421</v>
      </c>
      <c r="F743" s="10">
        <f>E743/(E743+I743)</f>
        <v>0.13709294779630565</v>
      </c>
      <c r="G743" s="11">
        <v>466285</v>
      </c>
      <c r="H743" s="10">
        <f t="shared" ref="H743:H748" si="135">G743/B743</f>
        <v>0.87066404506760331</v>
      </c>
      <c r="I743" s="12">
        <v>226925519</v>
      </c>
      <c r="J743" s="10">
        <f>I743/(E743+I743)</f>
        <v>0.86290705220369435</v>
      </c>
    </row>
    <row r="744" spans="1:13">
      <c r="A744" s="3" t="s">
        <v>11</v>
      </c>
      <c r="B744" s="6">
        <f>C744+G744</f>
        <v>52754</v>
      </c>
      <c r="C744" s="7">
        <v>13282</v>
      </c>
      <c r="D744" s="8">
        <f t="shared" si="134"/>
        <v>0.25177237745005115</v>
      </c>
      <c r="E744" s="12">
        <v>12425420</v>
      </c>
      <c r="F744" s="10">
        <f>E744/(E744+I744)</f>
        <v>0.26288989140761215</v>
      </c>
      <c r="G744" s="11">
        <v>39472</v>
      </c>
      <c r="H744" s="10">
        <f t="shared" si="135"/>
        <v>0.74822762254994879</v>
      </c>
      <c r="I744" s="12">
        <v>34839311</v>
      </c>
      <c r="J744" s="10">
        <f>I744/(E744+I744)</f>
        <v>0.73711010859238779</v>
      </c>
      <c r="M744" s="19"/>
    </row>
    <row r="745" spans="1:13">
      <c r="A745" s="3" t="s">
        <v>12</v>
      </c>
      <c r="B745" s="6">
        <f>C745+G745</f>
        <v>10791</v>
      </c>
      <c r="C745" s="7">
        <v>4787</v>
      </c>
      <c r="D745" s="8">
        <f t="shared" si="134"/>
        <v>0.44361041608748031</v>
      </c>
      <c r="E745" s="12">
        <v>96585509</v>
      </c>
      <c r="F745" s="10">
        <f>E745/(E745+I745)</f>
        <v>0.60726673991092162</v>
      </c>
      <c r="G745" s="11">
        <v>6004</v>
      </c>
      <c r="H745" s="10">
        <f t="shared" si="135"/>
        <v>0.55638958391251969</v>
      </c>
      <c r="I745" s="12">
        <v>62464053</v>
      </c>
      <c r="J745" s="10">
        <f>I745/(E745+I745)</f>
        <v>0.39273326008907838</v>
      </c>
      <c r="M745" s="19">
        <f>I1002+E1002</f>
        <v>748257284</v>
      </c>
    </row>
    <row r="746" spans="1:13">
      <c r="A746" s="3" t="s">
        <v>13</v>
      </c>
      <c r="B746" s="6">
        <f>C746+G746</f>
        <v>355</v>
      </c>
      <c r="C746" s="7">
        <v>311</v>
      </c>
      <c r="D746" s="8">
        <f t="shared" si="134"/>
        <v>0.87605633802816907</v>
      </c>
      <c r="E746" s="12">
        <v>134939129</v>
      </c>
      <c r="F746" s="10">
        <f>E746/(E746+I746)</f>
        <v>0.972593817348268</v>
      </c>
      <c r="G746" s="11">
        <v>44</v>
      </c>
      <c r="H746" s="10">
        <f t="shared" si="135"/>
        <v>0.12394366197183099</v>
      </c>
      <c r="I746" s="12">
        <v>3802375</v>
      </c>
      <c r="J746" s="10">
        <f>I746/(E746+I746)</f>
        <v>2.7406182651731958E-2</v>
      </c>
    </row>
    <row r="747" spans="1:13">
      <c r="A747" s="3" t="s">
        <v>65</v>
      </c>
      <c r="B747" s="6">
        <f>C747+G747</f>
        <v>5632</v>
      </c>
      <c r="C747" s="7">
        <v>1417</v>
      </c>
      <c r="D747" s="8">
        <f t="shared" si="134"/>
        <v>0.25159801136363635</v>
      </c>
      <c r="E747" s="12">
        <v>1413528</v>
      </c>
      <c r="F747" s="10">
        <f>E747/(E747+I746)</f>
        <v>0.27100350600845147</v>
      </c>
      <c r="G747" s="11">
        <v>4215</v>
      </c>
      <c r="H747" s="10">
        <f t="shared" si="135"/>
        <v>0.74840198863636365</v>
      </c>
      <c r="I747" s="13">
        <v>651181</v>
      </c>
      <c r="J747" s="10">
        <f>I746/(E747+I746)</f>
        <v>0.72899649399154853</v>
      </c>
    </row>
    <row r="748" spans="1:13" ht="15.75">
      <c r="B748" s="15">
        <f>SUM(B743:B747)</f>
        <v>605083</v>
      </c>
      <c r="C748" s="16">
        <f>SUM(C743:C747)</f>
        <v>89063</v>
      </c>
      <c r="D748" s="17">
        <f t="shared" si="134"/>
        <v>0.14719137705075172</v>
      </c>
      <c r="E748" s="18">
        <f>SUM(E743:E747)</f>
        <v>281416007</v>
      </c>
      <c r="F748" s="10">
        <f>E748/(E748+I748)</f>
        <v>0.46126327455028465</v>
      </c>
      <c r="G748" s="18">
        <f>SUM(G743:G747)</f>
        <v>516020</v>
      </c>
      <c r="H748" s="17">
        <f t="shared" si="135"/>
        <v>0.85280862294924831</v>
      </c>
      <c r="I748" s="18">
        <f>SUM(I743:I747)</f>
        <v>328682439</v>
      </c>
      <c r="J748" s="10">
        <f>I748/(E748+I748)</f>
        <v>0.5387367254497154</v>
      </c>
    </row>
    <row r="749" spans="1:13" ht="15.75">
      <c r="A749" s="1" t="s">
        <v>0</v>
      </c>
      <c r="B749" s="3"/>
      <c r="J749" s="3"/>
    </row>
    <row r="750" spans="1:13" ht="15.75">
      <c r="A750" s="1" t="s">
        <v>85</v>
      </c>
      <c r="B750" s="2"/>
      <c r="C750" s="2" t="s">
        <v>2</v>
      </c>
      <c r="D750" s="2"/>
      <c r="E750" s="2"/>
      <c r="F750" s="2"/>
      <c r="G750" s="2" t="s">
        <v>3</v>
      </c>
      <c r="H750" s="2"/>
      <c r="I750" s="2"/>
      <c r="J750" s="2"/>
    </row>
    <row r="751" spans="1:13">
      <c r="B751" s="4" t="s">
        <v>4</v>
      </c>
      <c r="C751" s="4" t="s">
        <v>5</v>
      </c>
      <c r="D751" s="4"/>
      <c r="E751" s="4" t="s">
        <v>6</v>
      </c>
      <c r="F751" s="5"/>
      <c r="G751" s="4" t="s">
        <v>7</v>
      </c>
      <c r="H751" s="5"/>
      <c r="I751" s="5" t="s">
        <v>6</v>
      </c>
      <c r="J751" s="5"/>
    </row>
    <row r="752" spans="1:13">
      <c r="B752" s="4" t="s">
        <v>8</v>
      </c>
      <c r="C752" s="4" t="s">
        <v>8</v>
      </c>
      <c r="D752" s="4" t="s">
        <v>9</v>
      </c>
      <c r="E752" s="4" t="s">
        <v>8</v>
      </c>
      <c r="F752" s="5" t="s">
        <v>9</v>
      </c>
      <c r="G752" s="5" t="s">
        <v>8</v>
      </c>
      <c r="H752" s="5" t="s">
        <v>9</v>
      </c>
      <c r="I752" s="5" t="s">
        <v>8</v>
      </c>
      <c r="J752" s="5" t="s">
        <v>9</v>
      </c>
    </row>
    <row r="753" spans="1:13">
      <c r="B753" s="4"/>
      <c r="C753" s="4"/>
      <c r="D753" s="4"/>
      <c r="E753" s="4"/>
      <c r="F753" s="4"/>
      <c r="G753" s="4"/>
      <c r="H753" s="4"/>
      <c r="I753" s="4"/>
      <c r="J753" s="4"/>
    </row>
    <row r="754" spans="1:13">
      <c r="A754" s="3" t="s">
        <v>10</v>
      </c>
      <c r="B754" s="6">
        <f>C754+G754</f>
        <v>564130</v>
      </c>
      <c r="C754" s="7">
        <v>74011</v>
      </c>
      <c r="D754" s="8">
        <f t="shared" ref="D754:D759" si="136">C754/B754</f>
        <v>0.13119493733713861</v>
      </c>
      <c r="E754" s="12">
        <v>39206726</v>
      </c>
      <c r="F754" s="10">
        <f>E754/(E754+I754)</f>
        <v>0.13625277100410119</v>
      </c>
      <c r="G754" s="11">
        <v>490119</v>
      </c>
      <c r="H754" s="10">
        <f t="shared" ref="H754:H759" si="137">G754/B754</f>
        <v>0.86880506266286139</v>
      </c>
      <c r="I754" s="12">
        <v>248543209</v>
      </c>
      <c r="J754" s="10">
        <f>I754/(E754+I754)</f>
        <v>0.86374722899589884</v>
      </c>
    </row>
    <row r="755" spans="1:13">
      <c r="A755" s="3" t="s">
        <v>11</v>
      </c>
      <c r="B755" s="6">
        <f>C755+G755</f>
        <v>57002</v>
      </c>
      <c r="C755" s="7">
        <v>15358</v>
      </c>
      <c r="D755" s="8">
        <f t="shared" si="136"/>
        <v>0.26942914283709346</v>
      </c>
      <c r="E755" s="12">
        <v>12898845</v>
      </c>
      <c r="F755" s="10">
        <f>E755/(E755+I755)</f>
        <v>0.26728145386115276</v>
      </c>
      <c r="G755" s="11">
        <v>41644</v>
      </c>
      <c r="H755" s="10">
        <f t="shared" si="137"/>
        <v>0.7305708571629066</v>
      </c>
      <c r="I755" s="12">
        <v>35360564</v>
      </c>
      <c r="J755" s="10">
        <f>I755/(E755+I755)</f>
        <v>0.73271854613884724</v>
      </c>
      <c r="M755" s="19"/>
    </row>
    <row r="756" spans="1:13">
      <c r="A756" s="3" t="s">
        <v>12</v>
      </c>
      <c r="B756" s="6">
        <f>C756+G756</f>
        <v>11437</v>
      </c>
      <c r="C756" s="7">
        <v>5067</v>
      </c>
      <c r="D756" s="8">
        <f t="shared" si="136"/>
        <v>0.44303576112616944</v>
      </c>
      <c r="E756" s="12">
        <v>97132193</v>
      </c>
      <c r="F756" s="10">
        <f>E756/(E756+I756)</f>
        <v>0.61747702397491611</v>
      </c>
      <c r="G756" s="11">
        <v>6370</v>
      </c>
      <c r="H756" s="10">
        <f t="shared" si="137"/>
        <v>0.55696423887383051</v>
      </c>
      <c r="I756" s="12">
        <v>60172758</v>
      </c>
      <c r="J756" s="10">
        <f>I756/(E756+I756)</f>
        <v>0.38252297602508389</v>
      </c>
      <c r="M756" s="19">
        <f>I1013+E1013</f>
        <v>743201918</v>
      </c>
    </row>
    <row r="757" spans="1:13">
      <c r="A757" s="3" t="s">
        <v>13</v>
      </c>
      <c r="B757" s="6">
        <f>C757+G757</f>
        <v>406</v>
      </c>
      <c r="C757" s="7">
        <v>354</v>
      </c>
      <c r="D757" s="8">
        <f t="shared" si="136"/>
        <v>0.8719211822660099</v>
      </c>
      <c r="E757" s="12">
        <v>240607863</v>
      </c>
      <c r="F757" s="10">
        <f>E757/(E757+I757)</f>
        <v>0.97662332415179109</v>
      </c>
      <c r="G757" s="11">
        <v>52</v>
      </c>
      <c r="H757" s="10">
        <f t="shared" si="137"/>
        <v>0.12807881773399016</v>
      </c>
      <c r="I757" s="12">
        <v>5759244</v>
      </c>
      <c r="J757" s="10">
        <f>I757/(E757+I757)</f>
        <v>2.3376675848208909E-2</v>
      </c>
    </row>
    <row r="758" spans="1:13">
      <c r="A758" s="3" t="s">
        <v>65</v>
      </c>
      <c r="B758" s="6">
        <f>C758+G758</f>
        <v>5900</v>
      </c>
      <c r="C758" s="7">
        <v>1505</v>
      </c>
      <c r="D758" s="8">
        <f t="shared" si="136"/>
        <v>0.25508474576271184</v>
      </c>
      <c r="E758" s="12">
        <v>2341442</v>
      </c>
      <c r="F758" s="10">
        <f>E758/(E758+I757)</f>
        <v>0.28904243418396913</v>
      </c>
      <c r="G758" s="11">
        <v>4395</v>
      </c>
      <c r="H758" s="10">
        <f t="shared" si="137"/>
        <v>0.7449152542372881</v>
      </c>
      <c r="I758" s="13">
        <v>810708</v>
      </c>
      <c r="J758" s="10">
        <f>I757/(E758+I757)</f>
        <v>0.71095756581603087</v>
      </c>
    </row>
    <row r="759" spans="1:13" ht="15.75">
      <c r="B759" s="15">
        <f>SUM(B754:B758)</f>
        <v>638875</v>
      </c>
      <c r="C759" s="16">
        <f>SUM(C754:C758)</f>
        <v>96295</v>
      </c>
      <c r="D759" s="17">
        <f t="shared" si="136"/>
        <v>0.1507258853453336</v>
      </c>
      <c r="E759" s="18">
        <f>SUM(E754:E758)</f>
        <v>392187069</v>
      </c>
      <c r="F759" s="10">
        <f>E759/(E759+I759)</f>
        <v>0.52796089775977162</v>
      </c>
      <c r="G759" s="18">
        <f>SUM(G754:G758)</f>
        <v>542580</v>
      </c>
      <c r="H759" s="17">
        <f t="shared" si="137"/>
        <v>0.8492741146546664</v>
      </c>
      <c r="I759" s="18">
        <f>SUM(I754:I758)</f>
        <v>350646483</v>
      </c>
      <c r="J759" s="10">
        <f>I759/(E759+I759)</f>
        <v>0.47203910224022838</v>
      </c>
    </row>
    <row r="760" spans="1:13" ht="15.75">
      <c r="A760" s="1" t="s">
        <v>0</v>
      </c>
      <c r="B760" s="3"/>
      <c r="J760" s="3"/>
    </row>
    <row r="761" spans="1:13" ht="15.75">
      <c r="A761" s="1" t="s">
        <v>86</v>
      </c>
      <c r="B761" s="2"/>
      <c r="C761" s="2" t="s">
        <v>2</v>
      </c>
      <c r="D761" s="2"/>
      <c r="E761" s="2"/>
      <c r="F761" s="2"/>
      <c r="G761" s="2" t="s">
        <v>3</v>
      </c>
      <c r="H761" s="2"/>
      <c r="I761" s="2"/>
      <c r="J761" s="2"/>
    </row>
    <row r="762" spans="1:13">
      <c r="B762" s="4" t="s">
        <v>4</v>
      </c>
      <c r="C762" s="4" t="s">
        <v>5</v>
      </c>
      <c r="D762" s="4"/>
      <c r="E762" s="4" t="s">
        <v>6</v>
      </c>
      <c r="F762" s="5"/>
      <c r="G762" s="4" t="s">
        <v>7</v>
      </c>
      <c r="H762" s="5"/>
      <c r="I762" s="5" t="s">
        <v>6</v>
      </c>
      <c r="J762" s="5"/>
    </row>
    <row r="763" spans="1:13">
      <c r="B763" s="4" t="s">
        <v>8</v>
      </c>
      <c r="C763" s="4" t="s">
        <v>8</v>
      </c>
      <c r="D763" s="4" t="s">
        <v>9</v>
      </c>
      <c r="E763" s="4" t="s">
        <v>8</v>
      </c>
      <c r="F763" s="5" t="s">
        <v>9</v>
      </c>
      <c r="G763" s="5" t="s">
        <v>8</v>
      </c>
      <c r="H763" s="5" t="s">
        <v>9</v>
      </c>
      <c r="I763" s="5" t="s">
        <v>8</v>
      </c>
      <c r="J763" s="5" t="s">
        <v>9</v>
      </c>
    </row>
    <row r="764" spans="1:13">
      <c r="B764" s="4"/>
      <c r="C764" s="4"/>
      <c r="D764" s="4"/>
      <c r="E764" s="4"/>
      <c r="F764" s="4"/>
      <c r="G764" s="4"/>
      <c r="H764" s="4"/>
      <c r="I764" s="4"/>
      <c r="J764" s="4"/>
    </row>
    <row r="765" spans="1:13">
      <c r="A765" s="3" t="s">
        <v>10</v>
      </c>
      <c r="B765" s="6">
        <f>C765+G765</f>
        <v>538468</v>
      </c>
      <c r="C765" s="7">
        <v>70341</v>
      </c>
      <c r="D765" s="8">
        <f t="shared" ref="D765:D770" si="138">C765/B765</f>
        <v>0.13063171813366811</v>
      </c>
      <c r="E765" s="12">
        <v>38525823</v>
      </c>
      <c r="F765" s="10">
        <f>E765/(E765+I765)</f>
        <v>0.13263767035593493</v>
      </c>
      <c r="G765" s="11">
        <v>468127</v>
      </c>
      <c r="H765" s="10">
        <f t="shared" ref="H765:H770" si="139">G765/B765</f>
        <v>0.86936828186633186</v>
      </c>
      <c r="I765" s="12">
        <v>251933312</v>
      </c>
      <c r="J765" s="10">
        <f>I765/(E765+I765)</f>
        <v>0.86736232964406512</v>
      </c>
    </row>
    <row r="766" spans="1:13">
      <c r="A766" s="3" t="s">
        <v>11</v>
      </c>
      <c r="B766" s="6">
        <f>C766+G766</f>
        <v>54764</v>
      </c>
      <c r="C766" s="7">
        <v>14835</v>
      </c>
      <c r="D766" s="8">
        <f t="shared" si="138"/>
        <v>0.27088963552698853</v>
      </c>
      <c r="E766" s="12">
        <v>12913974</v>
      </c>
      <c r="F766" s="10">
        <f>E766/(E766+I766)</f>
        <v>0.26482250253462347</v>
      </c>
      <c r="G766" s="11">
        <v>39929</v>
      </c>
      <c r="H766" s="10">
        <f t="shared" si="139"/>
        <v>0.72911036447301147</v>
      </c>
      <c r="I766" s="12">
        <v>35850666</v>
      </c>
      <c r="J766" s="10">
        <f>I766/(E766+I766)</f>
        <v>0.73517749746537653</v>
      </c>
      <c r="M766" s="19"/>
    </row>
    <row r="767" spans="1:13">
      <c r="A767" s="3" t="s">
        <v>12</v>
      </c>
      <c r="B767" s="6">
        <f>C767+G767</f>
        <v>11229</v>
      </c>
      <c r="C767" s="7">
        <v>4906</v>
      </c>
      <c r="D767" s="8">
        <f t="shared" si="138"/>
        <v>0.43690444385074362</v>
      </c>
      <c r="E767" s="12">
        <v>95129016</v>
      </c>
      <c r="F767" s="10">
        <f>E767/(E767+I767)</f>
        <v>0.61343334255244686</v>
      </c>
      <c r="G767" s="11">
        <v>6323</v>
      </c>
      <c r="H767" s="10">
        <f t="shared" si="139"/>
        <v>0.56309555614925644</v>
      </c>
      <c r="I767" s="12">
        <v>59947354</v>
      </c>
      <c r="J767" s="10">
        <f>I767/(E767+I767)</f>
        <v>0.38656665744755309</v>
      </c>
      <c r="M767" s="19">
        <f>I1024+E1024</f>
        <v>686643777</v>
      </c>
    </row>
    <row r="768" spans="1:13">
      <c r="A768" s="3" t="s">
        <v>13</v>
      </c>
      <c r="B768" s="6">
        <f>C768+G768</f>
        <v>405</v>
      </c>
      <c r="C768" s="7">
        <v>350</v>
      </c>
      <c r="D768" s="8">
        <f t="shared" si="138"/>
        <v>0.86419753086419748</v>
      </c>
      <c r="E768" s="12">
        <v>168547714</v>
      </c>
      <c r="F768" s="10">
        <f>E768/(E768+I768)</f>
        <v>0.97369795580274487</v>
      </c>
      <c r="G768" s="11">
        <v>55</v>
      </c>
      <c r="H768" s="10">
        <f t="shared" si="139"/>
        <v>0.13580246913580246</v>
      </c>
      <c r="I768" s="12">
        <v>4552900</v>
      </c>
      <c r="J768" s="10">
        <f>I768/(E768+I768)</f>
        <v>2.6302044197255129E-2</v>
      </c>
    </row>
    <row r="769" spans="1:13">
      <c r="A769" s="3" t="s">
        <v>65</v>
      </c>
      <c r="B769" s="6">
        <f>C769+G769</f>
        <v>5711</v>
      </c>
      <c r="C769" s="7">
        <v>1445</v>
      </c>
      <c r="D769" s="8">
        <f t="shared" si="138"/>
        <v>0.25302048677989847</v>
      </c>
      <c r="E769" s="12">
        <v>1506424</v>
      </c>
      <c r="F769" s="10">
        <f>E769/(E769+I768)</f>
        <v>0.24861255149914413</v>
      </c>
      <c r="G769" s="11">
        <v>4266</v>
      </c>
      <c r="H769" s="10">
        <f t="shared" si="139"/>
        <v>0.74697951322010159</v>
      </c>
      <c r="I769" s="13">
        <v>796422</v>
      </c>
      <c r="J769" s="10">
        <f>I768/(E769+I768)</f>
        <v>0.75138744850085593</v>
      </c>
    </row>
    <row r="770" spans="1:13" ht="15.75">
      <c r="B770" s="15">
        <f>SUM(B765:B769)</f>
        <v>610577</v>
      </c>
      <c r="C770" s="16">
        <f>SUM(C765:C769)</f>
        <v>91877</v>
      </c>
      <c r="D770" s="17">
        <f t="shared" si="138"/>
        <v>0.15047569757786486</v>
      </c>
      <c r="E770" s="18">
        <f>SUM(E765:E769)</f>
        <v>316622951</v>
      </c>
      <c r="F770" s="10">
        <f>E770/(E770+I770)</f>
        <v>0.47278071767285768</v>
      </c>
      <c r="G770" s="18">
        <f>SUM(G765:G769)</f>
        <v>518700</v>
      </c>
      <c r="H770" s="17">
        <f t="shared" si="139"/>
        <v>0.84952430242213517</v>
      </c>
      <c r="I770" s="18">
        <f>SUM(I765:I769)</f>
        <v>353080654</v>
      </c>
      <c r="J770" s="10">
        <f>I770/(E770+I770)</f>
        <v>0.52721928232714232</v>
      </c>
    </row>
    <row r="771" spans="1:13" ht="15.75">
      <c r="A771" s="1" t="s">
        <v>0</v>
      </c>
      <c r="B771" s="3"/>
      <c r="J771" s="3"/>
    </row>
    <row r="772" spans="1:13" ht="15.75">
      <c r="A772" s="1" t="s">
        <v>87</v>
      </c>
      <c r="B772" s="2"/>
      <c r="C772" s="2" t="s">
        <v>2</v>
      </c>
      <c r="D772" s="2"/>
      <c r="E772" s="2"/>
      <c r="F772" s="2"/>
      <c r="G772" s="2" t="s">
        <v>3</v>
      </c>
      <c r="H772" s="2"/>
      <c r="I772" s="2"/>
      <c r="J772" s="2"/>
    </row>
    <row r="773" spans="1:13">
      <c r="B773" s="4" t="s">
        <v>4</v>
      </c>
      <c r="C773" s="4" t="s">
        <v>5</v>
      </c>
      <c r="D773" s="4"/>
      <c r="E773" s="4" t="s">
        <v>6</v>
      </c>
      <c r="F773" s="5"/>
      <c r="G773" s="4" t="s">
        <v>7</v>
      </c>
      <c r="H773" s="5"/>
      <c r="I773" s="5" t="s">
        <v>6</v>
      </c>
      <c r="J773" s="5"/>
    </row>
    <row r="774" spans="1:13">
      <c r="B774" s="4" t="s">
        <v>8</v>
      </c>
      <c r="C774" s="4" t="s">
        <v>8</v>
      </c>
      <c r="D774" s="4" t="s">
        <v>9</v>
      </c>
      <c r="E774" s="4" t="s">
        <v>8</v>
      </c>
      <c r="F774" s="5" t="s">
        <v>9</v>
      </c>
      <c r="G774" s="5" t="s">
        <v>8</v>
      </c>
      <c r="H774" s="5" t="s">
        <v>9</v>
      </c>
      <c r="I774" s="5" t="s">
        <v>8</v>
      </c>
      <c r="J774" s="5" t="s">
        <v>9</v>
      </c>
    </row>
    <row r="775" spans="1:13">
      <c r="B775" s="4"/>
      <c r="C775" s="4"/>
      <c r="D775" s="4"/>
      <c r="E775" s="4"/>
      <c r="F775" s="4"/>
      <c r="G775" s="4"/>
      <c r="H775" s="4"/>
      <c r="I775" s="4"/>
      <c r="J775" s="4"/>
    </row>
    <row r="776" spans="1:13">
      <c r="A776" s="3" t="s">
        <v>10</v>
      </c>
      <c r="B776" s="6">
        <f>C776+G776</f>
        <v>561457</v>
      </c>
      <c r="C776" s="7">
        <v>74644</v>
      </c>
      <c r="D776" s="8">
        <f t="shared" ref="D776:D781" si="140">C776/B776</f>
        <v>0.13294695764769163</v>
      </c>
      <c r="E776" s="12">
        <v>46458000</v>
      </c>
      <c r="F776" s="10">
        <f>E776/(E776+I776)</f>
        <v>0.13182588811931939</v>
      </c>
      <c r="G776" s="11">
        <v>486813</v>
      </c>
      <c r="H776" s="10">
        <f t="shared" ref="H776:H781" si="141">G776/B776</f>
        <v>0.8670530423523084</v>
      </c>
      <c r="I776" s="12">
        <v>305961397</v>
      </c>
      <c r="J776" s="10">
        <f>I776/(E776+I776)</f>
        <v>0.86817411188068061</v>
      </c>
    </row>
    <row r="777" spans="1:13">
      <c r="A777" s="3" t="s">
        <v>11</v>
      </c>
      <c r="B777" s="6">
        <f>C777+G777</f>
        <v>56200</v>
      </c>
      <c r="C777" s="7">
        <v>15202</v>
      </c>
      <c r="D777" s="8">
        <f t="shared" si="140"/>
        <v>0.27049822064056939</v>
      </c>
      <c r="E777" s="12">
        <v>14164571</v>
      </c>
      <c r="F777" s="10">
        <f>E777/(E777+I777)</f>
        <v>0.25581761134642989</v>
      </c>
      <c r="G777" s="11">
        <v>40998</v>
      </c>
      <c r="H777" s="10">
        <f t="shared" si="141"/>
        <v>0.72950177935943061</v>
      </c>
      <c r="I777" s="12">
        <v>41205233</v>
      </c>
      <c r="J777" s="10">
        <f>I777/(E777+I777)</f>
        <v>0.74418238865357011</v>
      </c>
      <c r="M777" s="19"/>
    </row>
    <row r="778" spans="1:13">
      <c r="A778" s="3" t="s">
        <v>12</v>
      </c>
      <c r="B778" s="6">
        <f>C778+G778</f>
        <v>11590</v>
      </c>
      <c r="C778" s="7">
        <v>4992</v>
      </c>
      <c r="D778" s="8">
        <f t="shared" si="140"/>
        <v>0.43071613459879204</v>
      </c>
      <c r="E778" s="12">
        <v>105670556</v>
      </c>
      <c r="F778" s="10">
        <f>E778/(E778+I778)</f>
        <v>0.60671569013121751</v>
      </c>
      <c r="G778" s="11">
        <v>6598</v>
      </c>
      <c r="H778" s="10">
        <f t="shared" si="141"/>
        <v>0.5692838654012079</v>
      </c>
      <c r="I778" s="12">
        <v>68497605</v>
      </c>
      <c r="J778" s="10">
        <f>I778/(E778+I778)</f>
        <v>0.39328430986878249</v>
      </c>
      <c r="M778" s="19">
        <f>I1035+E1035</f>
        <v>679760662</v>
      </c>
    </row>
    <row r="779" spans="1:13">
      <c r="A779" s="3" t="s">
        <v>13</v>
      </c>
      <c r="B779" s="6">
        <f>C779+G779</f>
        <v>412</v>
      </c>
      <c r="C779" s="7">
        <v>355</v>
      </c>
      <c r="D779" s="8">
        <f t="shared" si="140"/>
        <v>0.86165048543689315</v>
      </c>
      <c r="E779" s="12">
        <v>249952536</v>
      </c>
      <c r="F779" s="10">
        <f>E779/(E779+I779)</f>
        <v>0.9740873416422654</v>
      </c>
      <c r="G779" s="11">
        <v>57</v>
      </c>
      <c r="H779" s="10">
        <f t="shared" si="141"/>
        <v>0.13834951456310679</v>
      </c>
      <c r="I779" s="12">
        <v>6649234</v>
      </c>
      <c r="J779" s="10">
        <f>I779/(E779+I779)</f>
        <v>2.5912658357734632E-2</v>
      </c>
    </row>
    <row r="780" spans="1:13">
      <c r="A780" s="3" t="s">
        <v>65</v>
      </c>
      <c r="B780" s="6">
        <f>C780+G780</f>
        <v>5842</v>
      </c>
      <c r="C780" s="7">
        <v>1475</v>
      </c>
      <c r="D780" s="8">
        <f t="shared" si="140"/>
        <v>0.25248202670318382</v>
      </c>
      <c r="E780" s="12">
        <v>1797945</v>
      </c>
      <c r="F780" s="10">
        <f>E780/(E780+I779)</f>
        <v>0.21284561390258216</v>
      </c>
      <c r="G780" s="11">
        <v>4367</v>
      </c>
      <c r="H780" s="10">
        <f t="shared" si="141"/>
        <v>0.74751797329681613</v>
      </c>
      <c r="I780" s="13">
        <v>885757</v>
      </c>
      <c r="J780" s="10">
        <f>I779/(E780+I779)</f>
        <v>0.78715438609741784</v>
      </c>
    </row>
    <row r="781" spans="1:13" ht="15.75">
      <c r="B781" s="15">
        <f>SUM(B776:B780)</f>
        <v>635501</v>
      </c>
      <c r="C781" s="16">
        <f>SUM(C776:C780)</f>
        <v>96668</v>
      </c>
      <c r="D781" s="17">
        <f t="shared" si="140"/>
        <v>0.15211305725718763</v>
      </c>
      <c r="E781" s="18">
        <f>SUM(E776:E780)</f>
        <v>418043608</v>
      </c>
      <c r="F781" s="10">
        <f>E781/(E781+I781)</f>
        <v>0.49693571357066679</v>
      </c>
      <c r="G781" s="18">
        <f>SUM(G776:G780)</f>
        <v>538833</v>
      </c>
      <c r="H781" s="17">
        <f t="shared" si="141"/>
        <v>0.8478869427428124</v>
      </c>
      <c r="I781" s="18">
        <f>SUM(I776:I780)</f>
        <v>423199226</v>
      </c>
      <c r="J781" s="10">
        <f>I781/(E781+I781)</f>
        <v>0.50306428642933321</v>
      </c>
    </row>
    <row r="782" spans="1:13" ht="15.75">
      <c r="A782" s="1" t="s">
        <v>0</v>
      </c>
      <c r="B782" s="3"/>
      <c r="J782" s="3"/>
    </row>
    <row r="783" spans="1:13" ht="15.75">
      <c r="A783" s="1" t="s">
        <v>88</v>
      </c>
      <c r="B783" s="2"/>
      <c r="C783" s="2" t="s">
        <v>2</v>
      </c>
      <c r="D783" s="2"/>
      <c r="E783" s="2"/>
      <c r="F783" s="2"/>
      <c r="G783" s="2" t="s">
        <v>3</v>
      </c>
      <c r="H783" s="2"/>
      <c r="I783" s="2"/>
      <c r="J783" s="2"/>
    </row>
    <row r="784" spans="1:13">
      <c r="B784" s="4" t="s">
        <v>4</v>
      </c>
      <c r="C784" s="4" t="s">
        <v>5</v>
      </c>
      <c r="D784" s="4"/>
      <c r="E784" s="4" t="s">
        <v>6</v>
      </c>
      <c r="F784" s="5"/>
      <c r="G784" s="4" t="s">
        <v>7</v>
      </c>
      <c r="H784" s="5"/>
      <c r="I784" s="5" t="s">
        <v>6</v>
      </c>
      <c r="J784" s="5"/>
    </row>
    <row r="785" spans="1:13">
      <c r="B785" s="4" t="s">
        <v>8</v>
      </c>
      <c r="C785" s="4" t="s">
        <v>8</v>
      </c>
      <c r="D785" s="4" t="s">
        <v>9</v>
      </c>
      <c r="E785" s="4" t="s">
        <v>8</v>
      </c>
      <c r="F785" s="5" t="s">
        <v>9</v>
      </c>
      <c r="G785" s="5" t="s">
        <v>8</v>
      </c>
      <c r="H785" s="5" t="s">
        <v>9</v>
      </c>
      <c r="I785" s="5" t="s">
        <v>8</v>
      </c>
      <c r="J785" s="5" t="s">
        <v>9</v>
      </c>
    </row>
    <row r="786" spans="1:13">
      <c r="B786" s="4"/>
      <c r="C786" s="4"/>
      <c r="D786" s="4"/>
      <c r="E786" s="4"/>
      <c r="F786" s="4"/>
      <c r="G786" s="4"/>
      <c r="H786" s="4"/>
      <c r="I786" s="4"/>
      <c r="J786" s="4"/>
    </row>
    <row r="787" spans="1:13">
      <c r="A787" s="3" t="s">
        <v>10</v>
      </c>
      <c r="B787" s="6">
        <f>C787+G787</f>
        <v>532547</v>
      </c>
      <c r="C787" s="7">
        <v>70546</v>
      </c>
      <c r="D787" s="8">
        <f t="shared" ref="D787:D792" si="142">C787/B787</f>
        <v>0.13246905906896481</v>
      </c>
      <c r="E787" s="12">
        <v>48558564</v>
      </c>
      <c r="F787" s="10">
        <f>E787/(E787+I787)</f>
        <v>0.13101359917397476</v>
      </c>
      <c r="G787" s="11">
        <v>462001</v>
      </c>
      <c r="H787" s="10">
        <f t="shared" ref="H787:H792" si="143">G787/B787</f>
        <v>0.86753094093103522</v>
      </c>
      <c r="I787" s="12">
        <v>322079021</v>
      </c>
      <c r="J787" s="10">
        <f>I787/(E787+I787)</f>
        <v>0.86898640082602518</v>
      </c>
    </row>
    <row r="788" spans="1:13">
      <c r="A788" s="3" t="s">
        <v>11</v>
      </c>
      <c r="B788" s="6">
        <f>C788+G788</f>
        <v>52942</v>
      </c>
      <c r="C788" s="7">
        <v>14295</v>
      </c>
      <c r="D788" s="8">
        <f t="shared" si="142"/>
        <v>0.27001246647274374</v>
      </c>
      <c r="E788" s="12">
        <v>14458052</v>
      </c>
      <c r="F788" s="10">
        <f>E788/(E788+I788)</f>
        <v>0.25381658329558632</v>
      </c>
      <c r="G788" s="11">
        <v>38647</v>
      </c>
      <c r="H788" s="10">
        <f t="shared" si="143"/>
        <v>0.7299875335272562</v>
      </c>
      <c r="I788" s="12">
        <v>42504546</v>
      </c>
      <c r="J788" s="10">
        <f>I788/(E788+I788)</f>
        <v>0.74618341670441368</v>
      </c>
      <c r="M788" s="19"/>
    </row>
    <row r="789" spans="1:13">
      <c r="A789" s="3" t="s">
        <v>12</v>
      </c>
      <c r="B789" s="6">
        <f>C789+G789</f>
        <v>10805</v>
      </c>
      <c r="C789" s="7">
        <v>4604</v>
      </c>
      <c r="D789" s="8">
        <f t="shared" si="142"/>
        <v>0.42609902822767237</v>
      </c>
      <c r="E789" s="12">
        <v>91158923</v>
      </c>
      <c r="F789" s="10">
        <f>E789/(E789+I789)</f>
        <v>0.57840474239625761</v>
      </c>
      <c r="G789" s="11">
        <v>6201</v>
      </c>
      <c r="H789" s="10">
        <f t="shared" si="143"/>
        <v>0.57390097177232757</v>
      </c>
      <c r="I789" s="12">
        <v>66445115</v>
      </c>
      <c r="J789" s="10">
        <f>I789/(E789+I789)</f>
        <v>0.42159525760374233</v>
      </c>
      <c r="M789" s="19">
        <f>I1046+E1046</f>
        <v>810342360</v>
      </c>
    </row>
    <row r="790" spans="1:13">
      <c r="A790" s="3" t="s">
        <v>13</v>
      </c>
      <c r="B790" s="6">
        <f>C790+G790</f>
        <v>339</v>
      </c>
      <c r="C790" s="7">
        <v>296</v>
      </c>
      <c r="D790" s="8">
        <f t="shared" si="142"/>
        <v>0.87315634218289084</v>
      </c>
      <c r="E790" s="12">
        <v>126294378</v>
      </c>
      <c r="F790" s="10">
        <f>E790/(E790+I790)</f>
        <v>0.95493986370896855</v>
      </c>
      <c r="G790" s="11">
        <v>43</v>
      </c>
      <c r="H790" s="10">
        <f t="shared" si="143"/>
        <v>0.12684365781710916</v>
      </c>
      <c r="I790" s="12">
        <v>5959372</v>
      </c>
      <c r="J790" s="10">
        <f>I790/(E790+I790)</f>
        <v>4.5060136291031443E-2</v>
      </c>
    </row>
    <row r="791" spans="1:13">
      <c r="A791" s="3" t="s">
        <v>65</v>
      </c>
      <c r="B791" s="6">
        <f>C791+G791</f>
        <v>5563</v>
      </c>
      <c r="C791" s="7">
        <v>1393</v>
      </c>
      <c r="D791" s="8">
        <f t="shared" si="142"/>
        <v>0.25040445802624484</v>
      </c>
      <c r="E791" s="12">
        <v>2227462</v>
      </c>
      <c r="F791" s="10">
        <f>E791/(E791+I790)</f>
        <v>0.27207855930632036</v>
      </c>
      <c r="G791" s="11">
        <v>4170</v>
      </c>
      <c r="H791" s="10">
        <f t="shared" si="143"/>
        <v>0.74959554197375522</v>
      </c>
      <c r="I791" s="13">
        <v>1071979</v>
      </c>
      <c r="J791" s="10">
        <f>I790/(E791+I790)</f>
        <v>0.72792144069367959</v>
      </c>
    </row>
    <row r="792" spans="1:13" ht="15.75">
      <c r="B792" s="15">
        <f>SUM(B787:B791)</f>
        <v>602196</v>
      </c>
      <c r="C792" s="16">
        <f>SUM(C787:C791)</f>
        <v>91134</v>
      </c>
      <c r="D792" s="17">
        <f t="shared" si="142"/>
        <v>0.15133610983799295</v>
      </c>
      <c r="E792" s="18">
        <f>SUM(E787:E791)</f>
        <v>282697379</v>
      </c>
      <c r="F792" s="10">
        <f>E792/(E792+I792)</f>
        <v>0.39222264564099968</v>
      </c>
      <c r="G792" s="18">
        <f>SUM(G787:G791)</f>
        <v>511062</v>
      </c>
      <c r="H792" s="17">
        <f t="shared" si="143"/>
        <v>0.84866389016200705</v>
      </c>
      <c r="I792" s="18">
        <f>SUM(I787:I791)</f>
        <v>438060033</v>
      </c>
      <c r="J792" s="10">
        <f>I792/(E792+I792)</f>
        <v>0.60777735435900038</v>
      </c>
    </row>
    <row r="793" spans="1:13" ht="15.75">
      <c r="A793" s="1" t="s">
        <v>0</v>
      </c>
      <c r="B793" s="3"/>
      <c r="J793" s="3"/>
    </row>
    <row r="794" spans="1:13" ht="15.75">
      <c r="A794" s="1" t="s">
        <v>89</v>
      </c>
      <c r="B794" s="2"/>
      <c r="C794" s="2" t="s">
        <v>2</v>
      </c>
      <c r="D794" s="2"/>
      <c r="E794" s="2"/>
      <c r="F794" s="2"/>
      <c r="G794" s="2" t="s">
        <v>3</v>
      </c>
      <c r="H794" s="2"/>
      <c r="I794" s="2"/>
      <c r="J794" s="2"/>
    </row>
    <row r="795" spans="1:13">
      <c r="B795" s="4" t="s">
        <v>4</v>
      </c>
      <c r="C795" s="4" t="s">
        <v>5</v>
      </c>
      <c r="D795" s="4"/>
      <c r="E795" s="4" t="s">
        <v>6</v>
      </c>
      <c r="F795" s="5"/>
      <c r="G795" s="4" t="s">
        <v>7</v>
      </c>
      <c r="H795" s="5"/>
      <c r="I795" s="5" t="s">
        <v>6</v>
      </c>
      <c r="J795" s="5"/>
    </row>
    <row r="796" spans="1:13">
      <c r="B796" s="4" t="s">
        <v>8</v>
      </c>
      <c r="C796" s="4" t="s">
        <v>8</v>
      </c>
      <c r="D796" s="4" t="s">
        <v>9</v>
      </c>
      <c r="E796" s="4" t="s">
        <v>8</v>
      </c>
      <c r="F796" s="5" t="s">
        <v>9</v>
      </c>
      <c r="G796" s="5" t="s">
        <v>8</v>
      </c>
      <c r="H796" s="5" t="s">
        <v>9</v>
      </c>
      <c r="I796" s="5" t="s">
        <v>8</v>
      </c>
      <c r="J796" s="5" t="s">
        <v>9</v>
      </c>
    </row>
    <row r="797" spans="1:13">
      <c r="B797" s="4"/>
      <c r="C797" s="4"/>
      <c r="D797" s="4"/>
      <c r="E797" s="4"/>
      <c r="F797" s="4"/>
      <c r="G797" s="4"/>
      <c r="H797" s="4"/>
      <c r="I797" s="4"/>
      <c r="J797" s="4"/>
    </row>
    <row r="798" spans="1:13">
      <c r="A798" s="3" t="s">
        <v>10</v>
      </c>
      <c r="B798" s="6">
        <f>C798+G798</f>
        <v>559620</v>
      </c>
      <c r="C798" s="7">
        <v>76954</v>
      </c>
      <c r="D798" s="8">
        <f t="shared" ref="D798:D803" si="144">C798/B798</f>
        <v>0.1375111682927701</v>
      </c>
      <c r="E798" s="12">
        <v>52254251</v>
      </c>
      <c r="F798" s="10">
        <f>E798/(E798+I798)</f>
        <v>0.13766899173531597</v>
      </c>
      <c r="G798" s="11">
        <v>482666</v>
      </c>
      <c r="H798" s="10">
        <f t="shared" ref="H798:H803" si="145">G798/B798</f>
        <v>0.8624888317072299</v>
      </c>
      <c r="I798" s="12">
        <v>327310169</v>
      </c>
      <c r="J798" s="10">
        <f>I798/(E798+I798)</f>
        <v>0.86233100826468401</v>
      </c>
    </row>
    <row r="799" spans="1:13">
      <c r="A799" s="3" t="s">
        <v>11</v>
      </c>
      <c r="B799" s="6">
        <f>C799+G799</f>
        <v>55721</v>
      </c>
      <c r="C799" s="7">
        <v>14847</v>
      </c>
      <c r="D799" s="8">
        <f t="shared" si="144"/>
        <v>0.26645250444177238</v>
      </c>
      <c r="E799" s="12">
        <v>14151272</v>
      </c>
      <c r="F799" s="10">
        <f>E799/(E799+I799)</f>
        <v>0.24593225083397863</v>
      </c>
      <c r="G799" s="11">
        <v>40874</v>
      </c>
      <c r="H799" s="10">
        <f t="shared" si="145"/>
        <v>0.73354749555822762</v>
      </c>
      <c r="I799" s="12">
        <v>43390071</v>
      </c>
      <c r="J799" s="10">
        <f>I799/(E799+I799)</f>
        <v>0.75406774916602137</v>
      </c>
      <c r="M799" s="19"/>
    </row>
    <row r="800" spans="1:13">
      <c r="A800" s="3" t="s">
        <v>12</v>
      </c>
      <c r="B800" s="6">
        <f>C800+G800</f>
        <v>11649</v>
      </c>
      <c r="C800" s="7">
        <v>4900</v>
      </c>
      <c r="D800" s="8">
        <f t="shared" si="144"/>
        <v>0.420636964546313</v>
      </c>
      <c r="E800" s="12">
        <v>111497746</v>
      </c>
      <c r="F800" s="10">
        <f>E800/(E800+I800)</f>
        <v>0.61502678603362537</v>
      </c>
      <c r="G800" s="11">
        <v>6749</v>
      </c>
      <c r="H800" s="10">
        <f t="shared" si="145"/>
        <v>0.57936303545368706</v>
      </c>
      <c r="I800" s="12">
        <v>69791506</v>
      </c>
      <c r="J800" s="10">
        <f>I800/(E800+I800)</f>
        <v>0.38497321396637457</v>
      </c>
      <c r="M800" s="19">
        <f>I1054+E1054</f>
        <v>145044907</v>
      </c>
    </row>
    <row r="801" spans="1:13">
      <c r="A801" s="3" t="s">
        <v>13</v>
      </c>
      <c r="B801" s="6">
        <f>C801+G801</f>
        <v>402</v>
      </c>
      <c r="C801" s="7">
        <v>347</v>
      </c>
      <c r="D801" s="8">
        <f t="shared" si="144"/>
        <v>0.86318407960199006</v>
      </c>
      <c r="E801" s="12">
        <v>270646149</v>
      </c>
      <c r="F801" s="10">
        <f>E801/(E801+I801)</f>
        <v>0.97819580112486415</v>
      </c>
      <c r="G801" s="11">
        <v>55</v>
      </c>
      <c r="H801" s="10">
        <f t="shared" si="145"/>
        <v>0.13681592039800994</v>
      </c>
      <c r="I801" s="12">
        <v>6032762</v>
      </c>
      <c r="J801" s="10">
        <f>I801/(E801+I801)</f>
        <v>2.1804198875135808E-2</v>
      </c>
    </row>
    <row r="802" spans="1:13">
      <c r="A802" s="3" t="s">
        <v>65</v>
      </c>
      <c r="B802" s="6">
        <f>C802+G802</f>
        <v>5886</v>
      </c>
      <c r="C802" s="7">
        <v>1498</v>
      </c>
      <c r="D802" s="8">
        <f t="shared" si="144"/>
        <v>0.25450220863064899</v>
      </c>
      <c r="E802" s="12">
        <v>2642478</v>
      </c>
      <c r="F802" s="10">
        <f>E802/(E802+I801)</f>
        <v>0.30459998801185906</v>
      </c>
      <c r="G802" s="11">
        <v>4388</v>
      </c>
      <c r="H802" s="10">
        <f t="shared" si="145"/>
        <v>0.74549779136935101</v>
      </c>
      <c r="I802" s="13">
        <v>1191708</v>
      </c>
      <c r="J802" s="10">
        <f>I801/(E802+I801)</f>
        <v>0.69540001198814094</v>
      </c>
    </row>
    <row r="803" spans="1:13" ht="15.75">
      <c r="B803" s="15">
        <f>SUM(B798:B802)</f>
        <v>633278</v>
      </c>
      <c r="C803" s="16">
        <f>SUM(C798:C802)</f>
        <v>98546</v>
      </c>
      <c r="D803" s="17">
        <f t="shared" si="144"/>
        <v>0.15561254299059812</v>
      </c>
      <c r="E803" s="18">
        <f>SUM(E798:E802)</f>
        <v>451191896</v>
      </c>
      <c r="F803" s="10">
        <f>E803/(E803+I803)</f>
        <v>0.50193327880436345</v>
      </c>
      <c r="G803" s="18">
        <f>SUM(G798:G802)</f>
        <v>534732</v>
      </c>
      <c r="H803" s="17">
        <f t="shared" si="145"/>
        <v>0.84438745700940188</v>
      </c>
      <c r="I803" s="18">
        <f>SUM(I798:I802)</f>
        <v>447716216</v>
      </c>
      <c r="J803" s="10">
        <f>I803/(E803+I803)</f>
        <v>0.4980667211956365</v>
      </c>
    </row>
    <row r="804" spans="1:13" ht="15.75">
      <c r="A804" s="1" t="s">
        <v>0</v>
      </c>
      <c r="B804" s="3"/>
      <c r="J804" s="3"/>
    </row>
    <row r="805" spans="1:13" ht="15.75">
      <c r="A805" s="1" t="s">
        <v>90</v>
      </c>
      <c r="B805" s="2"/>
      <c r="C805" s="2" t="s">
        <v>2</v>
      </c>
      <c r="D805" s="2"/>
      <c r="E805" s="2"/>
      <c r="F805" s="2"/>
      <c r="G805" s="2" t="s">
        <v>3</v>
      </c>
      <c r="H805" s="2"/>
      <c r="I805" s="2"/>
      <c r="J805" s="2"/>
    </row>
    <row r="806" spans="1:13">
      <c r="B806" s="4" t="s">
        <v>4</v>
      </c>
      <c r="C806" s="4" t="s">
        <v>5</v>
      </c>
      <c r="D806" s="4"/>
      <c r="E806" s="4" t="s">
        <v>6</v>
      </c>
      <c r="F806" s="5"/>
      <c r="G806" s="4" t="s">
        <v>7</v>
      </c>
      <c r="H806" s="5"/>
      <c r="I806" s="5" t="s">
        <v>6</v>
      </c>
      <c r="J806" s="5"/>
    </row>
    <row r="807" spans="1:13">
      <c r="B807" s="4" t="s">
        <v>8</v>
      </c>
      <c r="C807" s="4" t="s">
        <v>8</v>
      </c>
      <c r="D807" s="4" t="s">
        <v>9</v>
      </c>
      <c r="E807" s="4" t="s">
        <v>8</v>
      </c>
      <c r="F807" s="5" t="s">
        <v>9</v>
      </c>
      <c r="G807" s="5" t="s">
        <v>8</v>
      </c>
      <c r="H807" s="5" t="s">
        <v>9</v>
      </c>
      <c r="I807" s="5" t="s">
        <v>8</v>
      </c>
      <c r="J807" s="5" t="s">
        <v>9</v>
      </c>
    </row>
    <row r="808" spans="1:13">
      <c r="B808" s="4"/>
      <c r="C808" s="4"/>
      <c r="D808" s="4"/>
      <c r="E808" s="4"/>
      <c r="F808" s="4"/>
      <c r="G808" s="4"/>
      <c r="H808" s="4"/>
      <c r="I808" s="4"/>
      <c r="J808" s="4"/>
    </row>
    <row r="809" spans="1:13">
      <c r="A809" s="3" t="s">
        <v>10</v>
      </c>
      <c r="B809" s="6">
        <f>C809+G809</f>
        <v>554436</v>
      </c>
      <c r="C809" s="7">
        <v>77017</v>
      </c>
      <c r="D809" s="8">
        <f t="shared" ref="D809:D814" si="146">C809/B809</f>
        <v>0.13891053250510429</v>
      </c>
      <c r="E809" s="9">
        <v>50358734</v>
      </c>
      <c r="F809" s="10">
        <f>E809/(E809+I809)</f>
        <v>0.14024625778849295</v>
      </c>
      <c r="G809" s="11">
        <v>477419</v>
      </c>
      <c r="H809" s="10">
        <f t="shared" ref="H809:H814" si="147">G809/B809</f>
        <v>0.86108946749489568</v>
      </c>
      <c r="I809" s="12">
        <v>308714904</v>
      </c>
      <c r="J809" s="10">
        <f>I809/(E809+I809)</f>
        <v>0.85975374221150702</v>
      </c>
    </row>
    <row r="810" spans="1:13">
      <c r="A810" s="3" t="s">
        <v>11</v>
      </c>
      <c r="B810" s="6">
        <f>C810+G810</f>
        <v>54575</v>
      </c>
      <c r="C810" s="7">
        <v>14376</v>
      </c>
      <c r="D810" s="8">
        <f t="shared" si="146"/>
        <v>0.26341731562070547</v>
      </c>
      <c r="E810" s="11">
        <v>12725395</v>
      </c>
      <c r="F810" s="10">
        <f>E810/(E810+I810)</f>
        <v>0.23742539453418368</v>
      </c>
      <c r="G810" s="11">
        <v>40199</v>
      </c>
      <c r="H810" s="10">
        <f t="shared" si="147"/>
        <v>0.73658268437929453</v>
      </c>
      <c r="I810" s="12">
        <v>40872052</v>
      </c>
      <c r="J810" s="10">
        <f>I810/(E810+I810)</f>
        <v>0.76257460546581635</v>
      </c>
      <c r="M810" s="19"/>
    </row>
    <row r="811" spans="1:13">
      <c r="A811" s="3" t="s">
        <v>12</v>
      </c>
      <c r="B811" s="6">
        <f>C811+G811</f>
        <v>10959</v>
      </c>
      <c r="C811" s="7">
        <v>4465</v>
      </c>
      <c r="D811" s="8">
        <f t="shared" si="146"/>
        <v>0.40742768500775617</v>
      </c>
      <c r="E811" s="11">
        <v>95467615</v>
      </c>
      <c r="F811" s="10">
        <f>E811/(E811+I811)</f>
        <v>0.59385288745086962</v>
      </c>
      <c r="G811" s="11">
        <v>6494</v>
      </c>
      <c r="H811" s="10">
        <f t="shared" si="147"/>
        <v>0.59257231499224383</v>
      </c>
      <c r="I811" s="12">
        <v>65292090</v>
      </c>
      <c r="J811" s="10">
        <f>I811/(E811+I811)</f>
        <v>0.40614711254913038</v>
      </c>
      <c r="M811" s="19">
        <f>I1065+E1065</f>
        <v>177133868</v>
      </c>
    </row>
    <row r="812" spans="1:13">
      <c r="A812" s="3" t="s">
        <v>13</v>
      </c>
      <c r="B812" s="6">
        <f>C812+G812</f>
        <v>367</v>
      </c>
      <c r="C812" s="7">
        <v>321</v>
      </c>
      <c r="D812" s="8">
        <f t="shared" si="146"/>
        <v>0.87465940054495916</v>
      </c>
      <c r="E812" s="11">
        <v>152667681</v>
      </c>
      <c r="F812" s="10">
        <f>E812/(E812+I812)</f>
        <v>0.96621386683713772</v>
      </c>
      <c r="G812" s="11">
        <v>46</v>
      </c>
      <c r="H812" s="10">
        <f t="shared" si="147"/>
        <v>0.12534059945504086</v>
      </c>
      <c r="I812" s="12">
        <v>5338415</v>
      </c>
      <c r="J812" s="10">
        <f>I812/(E812+I812)</f>
        <v>3.3786133162862275E-2</v>
      </c>
    </row>
    <row r="813" spans="1:13">
      <c r="A813" s="3" t="s">
        <v>65</v>
      </c>
      <c r="B813" s="6">
        <f>C813+G813</f>
        <v>5761</v>
      </c>
      <c r="C813" s="7">
        <v>1448</v>
      </c>
      <c r="D813" s="8">
        <f t="shared" si="146"/>
        <v>0.25134525256031937</v>
      </c>
      <c r="E813" s="11">
        <v>2586748</v>
      </c>
      <c r="F813" s="10">
        <f>E813/(E813+I812)</f>
        <v>0.32639681985089769</v>
      </c>
      <c r="G813" s="11">
        <v>4313</v>
      </c>
      <c r="H813" s="10">
        <f t="shared" si="147"/>
        <v>0.74865474743968063</v>
      </c>
      <c r="I813" s="13">
        <v>1146171</v>
      </c>
      <c r="J813" s="10">
        <f>I812/(E813+I812)</f>
        <v>0.67360318014910225</v>
      </c>
    </row>
    <row r="814" spans="1:13" ht="15.75">
      <c r="B814" s="15">
        <f>SUM(B809:B813)</f>
        <v>626098</v>
      </c>
      <c r="C814" s="16">
        <f>SUM(C809:C813)</f>
        <v>97627</v>
      </c>
      <c r="D814" s="17">
        <f t="shared" si="146"/>
        <v>0.15592926346993602</v>
      </c>
      <c r="E814" s="18">
        <f>SUM(E809:E813)</f>
        <v>313806173</v>
      </c>
      <c r="F814" s="10">
        <f>E814/(E814+I814)</f>
        <v>0.42684856051725356</v>
      </c>
      <c r="G814" s="18">
        <f>SUM(G809:G813)</f>
        <v>528471</v>
      </c>
      <c r="H814" s="17">
        <f t="shared" si="147"/>
        <v>0.84407073653006404</v>
      </c>
      <c r="I814" s="18">
        <f>SUM(I809:I813)</f>
        <v>421363632</v>
      </c>
      <c r="J814" s="10">
        <f>I814/(E814+I814)</f>
        <v>0.57315143948274638</v>
      </c>
    </row>
    <row r="815" spans="1:13" ht="15.75">
      <c r="A815" s="1" t="s">
        <v>0</v>
      </c>
      <c r="B815" s="3"/>
      <c r="J815" s="3"/>
    </row>
    <row r="816" spans="1:13" ht="15.75">
      <c r="A816" s="1" t="s">
        <v>91</v>
      </c>
      <c r="B816" s="2"/>
      <c r="C816" s="2" t="s">
        <v>2</v>
      </c>
      <c r="D816" s="2"/>
      <c r="E816" s="2"/>
      <c r="F816" s="2"/>
      <c r="G816" s="2" t="s">
        <v>3</v>
      </c>
      <c r="H816" s="2"/>
      <c r="I816" s="2"/>
      <c r="J816" s="2"/>
    </row>
    <row r="817" spans="1:13">
      <c r="B817" s="4" t="s">
        <v>4</v>
      </c>
      <c r="C817" s="4" t="s">
        <v>5</v>
      </c>
      <c r="D817" s="4"/>
      <c r="E817" s="4" t="s">
        <v>6</v>
      </c>
      <c r="F817" s="5"/>
      <c r="G817" s="4" t="s">
        <v>7</v>
      </c>
      <c r="H817" s="5"/>
      <c r="I817" s="5" t="s">
        <v>6</v>
      </c>
      <c r="J817" s="5"/>
    </row>
    <row r="818" spans="1:13">
      <c r="B818" s="4" t="s">
        <v>8</v>
      </c>
      <c r="C818" s="4" t="s">
        <v>8</v>
      </c>
      <c r="D818" s="4" t="s">
        <v>9</v>
      </c>
      <c r="E818" s="4" t="s">
        <v>8</v>
      </c>
      <c r="F818" s="5" t="s">
        <v>9</v>
      </c>
      <c r="G818" s="5" t="s">
        <v>8</v>
      </c>
      <c r="H818" s="5" t="s">
        <v>9</v>
      </c>
      <c r="I818" s="5" t="s">
        <v>8</v>
      </c>
      <c r="J818" s="5" t="s">
        <v>9</v>
      </c>
    </row>
    <row r="819" spans="1:13">
      <c r="B819" s="4"/>
      <c r="C819" s="4"/>
      <c r="D819" s="4"/>
      <c r="E819" s="4"/>
      <c r="F819" s="4"/>
      <c r="G819" s="4"/>
      <c r="H819" s="4"/>
      <c r="I819" s="4"/>
      <c r="J819" s="4"/>
      <c r="M819" s="19">
        <f>I1079+E1079</f>
        <v>797105690</v>
      </c>
    </row>
    <row r="820" spans="1:13">
      <c r="A820" s="3" t="s">
        <v>10</v>
      </c>
      <c r="B820" s="6">
        <f>C820+G820</f>
        <v>529708</v>
      </c>
      <c r="C820" s="7">
        <v>75370</v>
      </c>
      <c r="D820" s="8">
        <f t="shared" ref="D820:D825" si="148">C820/B820</f>
        <v>0.14228593866809638</v>
      </c>
      <c r="E820" s="11">
        <v>43488628</v>
      </c>
      <c r="F820" s="10">
        <f>E820/(E820+I820)</f>
        <v>0.14637919717218648</v>
      </c>
      <c r="G820" s="11">
        <v>454338</v>
      </c>
      <c r="H820" s="10">
        <f t="shared" ref="H820:H825" si="149">G820/B820</f>
        <v>0.85771406133190364</v>
      </c>
      <c r="I820" s="12">
        <v>253607058</v>
      </c>
      <c r="J820" s="10">
        <f>I820/(E820+I820)</f>
        <v>0.8536208028278135</v>
      </c>
      <c r="M820" s="19"/>
    </row>
    <row r="821" spans="1:13">
      <c r="A821" s="3" t="s">
        <v>11</v>
      </c>
      <c r="B821" s="6">
        <f>C821+G821</f>
        <v>52121</v>
      </c>
      <c r="C821" s="7">
        <v>14209</v>
      </c>
      <c r="D821" s="8">
        <f t="shared" si="148"/>
        <v>0.2726156443659945</v>
      </c>
      <c r="E821" s="11">
        <v>11639113</v>
      </c>
      <c r="F821" s="10">
        <f>E821/(E821+I821)</f>
        <v>0.24997284774426018</v>
      </c>
      <c r="G821" s="11">
        <v>37912</v>
      </c>
      <c r="H821" s="10">
        <f t="shared" si="149"/>
        <v>0.7273843556340055</v>
      </c>
      <c r="I821" s="12">
        <v>34922396</v>
      </c>
      <c r="J821" s="10">
        <f>I821/(E821+I821)</f>
        <v>0.75002715225573979</v>
      </c>
      <c r="M821" s="19"/>
    </row>
    <row r="822" spans="1:13">
      <c r="A822" s="3" t="s">
        <v>12</v>
      </c>
      <c r="B822" s="6">
        <f>C822+G822</f>
        <v>10363</v>
      </c>
      <c r="C822" s="7">
        <v>4218</v>
      </c>
      <c r="D822" s="8">
        <f t="shared" si="148"/>
        <v>0.40702499276271348</v>
      </c>
      <c r="E822" s="11">
        <v>105755154</v>
      </c>
      <c r="F822" s="10">
        <f>E822/(E822+I822)</f>
        <v>0.63007166738269904</v>
      </c>
      <c r="G822" s="11">
        <v>6145</v>
      </c>
      <c r="H822" s="10">
        <f t="shared" si="149"/>
        <v>0.59297500723728647</v>
      </c>
      <c r="I822" s="12">
        <v>62091076</v>
      </c>
      <c r="J822" s="10">
        <f>I822/(E822+I822)</f>
        <v>0.36992833261730096</v>
      </c>
    </row>
    <row r="823" spans="1:13">
      <c r="A823" s="3" t="s">
        <v>13</v>
      </c>
      <c r="B823" s="6">
        <f>C823+G823</f>
        <v>378</v>
      </c>
      <c r="C823" s="7">
        <v>328</v>
      </c>
      <c r="D823" s="8">
        <f t="shared" si="148"/>
        <v>0.86772486772486768</v>
      </c>
      <c r="E823" s="11">
        <v>217399867</v>
      </c>
      <c r="F823" s="10">
        <f>E823/(E823+I823)</f>
        <v>0.98122770780400304</v>
      </c>
      <c r="G823" s="11">
        <v>50</v>
      </c>
      <c r="H823" s="10">
        <f t="shared" si="149"/>
        <v>0.13227513227513227</v>
      </c>
      <c r="I823" s="12">
        <v>4159171</v>
      </c>
      <c r="J823" s="10">
        <f>I823/(E823+I823)</f>
        <v>1.8772292195996989E-2</v>
      </c>
      <c r="M823" s="19"/>
    </row>
    <row r="824" spans="1:13">
      <c r="A824" s="3" t="s">
        <v>65</v>
      </c>
      <c r="B824" s="6">
        <f>C824+G824</f>
        <v>5559</v>
      </c>
      <c r="C824" s="7">
        <v>1425</v>
      </c>
      <c r="D824" s="8">
        <f t="shared" si="148"/>
        <v>0.25634106853750677</v>
      </c>
      <c r="E824" s="11">
        <v>2721876</v>
      </c>
      <c r="F824" s="10">
        <f>E824/(E824+I823)</f>
        <v>0.39556131501499697</v>
      </c>
      <c r="G824" s="11">
        <v>4134</v>
      </c>
      <c r="H824" s="10">
        <f t="shared" si="149"/>
        <v>0.74365893146249329</v>
      </c>
      <c r="I824" s="13">
        <v>1117251</v>
      </c>
      <c r="J824" s="10">
        <f>I823/(E824+I823)</f>
        <v>0.60443868498500297</v>
      </c>
    </row>
    <row r="825" spans="1:13" ht="15.75">
      <c r="B825" s="15">
        <f>SUM(B820:B824)</f>
        <v>598129</v>
      </c>
      <c r="C825" s="16">
        <f>SUM(C820:C824)</f>
        <v>95550</v>
      </c>
      <c r="D825" s="17">
        <f t="shared" si="148"/>
        <v>0.159748147974768</v>
      </c>
      <c r="E825" s="18">
        <f>SUM(E820:E824)</f>
        <v>381004638</v>
      </c>
      <c r="F825" s="10">
        <f>E825/(E825+I825)</f>
        <v>0.51703598305439946</v>
      </c>
      <c r="G825" s="18">
        <f>SUM(G820:G824)</f>
        <v>502579</v>
      </c>
      <c r="H825" s="17">
        <f t="shared" si="149"/>
        <v>0.840251852025232</v>
      </c>
      <c r="I825" s="18">
        <f>SUM(I820:I824)</f>
        <v>355896952</v>
      </c>
      <c r="J825" s="10">
        <f>I825/(E825+I825)</f>
        <v>0.48296401694560054</v>
      </c>
    </row>
    <row r="826" spans="1:13" ht="15.75">
      <c r="A826" s="1" t="s">
        <v>0</v>
      </c>
      <c r="B826" s="3"/>
      <c r="J826" s="3"/>
    </row>
    <row r="827" spans="1:13" ht="15.75">
      <c r="A827" s="1" t="s">
        <v>92</v>
      </c>
      <c r="B827" s="2"/>
      <c r="C827" s="2" t="s">
        <v>2</v>
      </c>
      <c r="D827" s="2"/>
      <c r="E827" s="2"/>
      <c r="F827" s="2"/>
      <c r="G827" s="2" t="s">
        <v>3</v>
      </c>
      <c r="H827" s="2"/>
      <c r="I827" s="2"/>
      <c r="J827" s="2"/>
    </row>
    <row r="828" spans="1:13">
      <c r="B828" s="4" t="s">
        <v>4</v>
      </c>
      <c r="C828" s="4" t="s">
        <v>5</v>
      </c>
      <c r="D828" s="4"/>
      <c r="E828" s="4" t="s">
        <v>6</v>
      </c>
      <c r="F828" s="5"/>
      <c r="G828" s="4" t="s">
        <v>7</v>
      </c>
      <c r="H828" s="5"/>
      <c r="I828" s="5" t="s">
        <v>6</v>
      </c>
      <c r="J828" s="5"/>
    </row>
    <row r="829" spans="1:13">
      <c r="B829" s="4" t="s">
        <v>8</v>
      </c>
      <c r="C829" s="4" t="s">
        <v>8</v>
      </c>
      <c r="D829" s="4" t="s">
        <v>9</v>
      </c>
      <c r="E829" s="4" t="s">
        <v>8</v>
      </c>
      <c r="F829" s="5" t="s">
        <v>9</v>
      </c>
      <c r="G829" s="5" t="s">
        <v>8</v>
      </c>
      <c r="H829" s="5" t="s">
        <v>9</v>
      </c>
      <c r="I829" s="5" t="s">
        <v>8</v>
      </c>
      <c r="J829" s="5" t="s">
        <v>9</v>
      </c>
    </row>
    <row r="830" spans="1:13">
      <c r="B830" s="4"/>
      <c r="C830" s="4"/>
      <c r="D830" s="4"/>
      <c r="E830" s="4"/>
      <c r="F830" s="4"/>
      <c r="G830" s="4"/>
      <c r="H830" s="4"/>
      <c r="I830" s="4"/>
      <c r="J830" s="4"/>
      <c r="M830" s="19">
        <f>I1090+E1090</f>
        <v>674398944</v>
      </c>
    </row>
    <row r="831" spans="1:13">
      <c r="A831" s="3" t="s">
        <v>10</v>
      </c>
      <c r="B831" s="6">
        <f>C831+G831</f>
        <v>558168</v>
      </c>
      <c r="C831" s="7">
        <v>81500</v>
      </c>
      <c r="D831" s="8">
        <f t="shared" ref="D831:D836" si="150">C831/B831</f>
        <v>0.14601338665061414</v>
      </c>
      <c r="E831" s="11">
        <v>43078180</v>
      </c>
      <c r="F831" s="10">
        <f>E831/(E831+I831)</f>
        <v>0.15380697266311885</v>
      </c>
      <c r="G831" s="11">
        <v>476668</v>
      </c>
      <c r="H831" s="10">
        <f t="shared" ref="H831:H836" si="151">G831/B831</f>
        <v>0.85398661334938586</v>
      </c>
      <c r="I831" s="12">
        <v>237001320</v>
      </c>
      <c r="J831" s="10">
        <f>I831/(E831+I831)</f>
        <v>0.84619302733688118</v>
      </c>
      <c r="M831" s="19"/>
    </row>
    <row r="832" spans="1:13">
      <c r="A832" s="3" t="s">
        <v>11</v>
      </c>
      <c r="B832" s="6">
        <f>C832+G832</f>
        <v>55202</v>
      </c>
      <c r="C832" s="7">
        <v>15066</v>
      </c>
      <c r="D832" s="8">
        <f t="shared" si="150"/>
        <v>0.27292489402557879</v>
      </c>
      <c r="E832" s="11">
        <v>11929849</v>
      </c>
      <c r="F832" s="10">
        <f>E832/(E832+I832)</f>
        <v>0.2441361159772964</v>
      </c>
      <c r="G832" s="11">
        <v>40136</v>
      </c>
      <c r="H832" s="10">
        <f t="shared" si="151"/>
        <v>0.72707510597442127</v>
      </c>
      <c r="I832" s="12">
        <v>36935715</v>
      </c>
      <c r="J832" s="10">
        <f>I832/(E832+I832)</f>
        <v>0.75586388402270355</v>
      </c>
      <c r="M832" s="19"/>
    </row>
    <row r="833" spans="1:13">
      <c r="A833" s="3" t="s">
        <v>12</v>
      </c>
      <c r="B833" s="6">
        <f>C833+G833</f>
        <v>11321</v>
      </c>
      <c r="C833" s="7">
        <v>4755</v>
      </c>
      <c r="D833" s="8">
        <f t="shared" si="150"/>
        <v>0.42001589965550745</v>
      </c>
      <c r="E833" s="11">
        <v>106473249</v>
      </c>
      <c r="F833" s="10">
        <f>E833/(E833+I833)</f>
        <v>0.58670617927071123</v>
      </c>
      <c r="G833" s="11">
        <v>6566</v>
      </c>
      <c r="H833" s="10">
        <f t="shared" si="151"/>
        <v>0.57998410034449255</v>
      </c>
      <c r="I833" s="12">
        <v>75003021</v>
      </c>
      <c r="J833" s="10">
        <f>I833/(E833+I833)</f>
        <v>0.41329382072928872</v>
      </c>
    </row>
    <row r="834" spans="1:13">
      <c r="A834" s="3" t="s">
        <v>13</v>
      </c>
      <c r="B834" s="6">
        <f>C834+G834</f>
        <v>401</v>
      </c>
      <c r="C834" s="7">
        <v>350</v>
      </c>
      <c r="D834" s="8">
        <f t="shared" si="150"/>
        <v>0.87281795511221949</v>
      </c>
      <c r="E834" s="11">
        <v>247226795</v>
      </c>
      <c r="F834" s="10">
        <f>E834/(E834+I834)</f>
        <v>0.97719250246991052</v>
      </c>
      <c r="G834" s="11">
        <v>51</v>
      </c>
      <c r="H834" s="10">
        <f t="shared" si="151"/>
        <v>0.12718204488778054</v>
      </c>
      <c r="I834" s="12">
        <v>5770229</v>
      </c>
      <c r="J834" s="10">
        <f>I834/(E834+I834)</f>
        <v>2.2807497530089524E-2</v>
      </c>
      <c r="M834" s="19"/>
    </row>
    <row r="835" spans="1:13">
      <c r="A835" s="3" t="s">
        <v>65</v>
      </c>
      <c r="B835" s="6">
        <f>C835+G835</f>
        <v>5861</v>
      </c>
      <c r="C835" s="7">
        <v>1522</v>
      </c>
      <c r="D835" s="8">
        <f t="shared" si="150"/>
        <v>0.25968264801228458</v>
      </c>
      <c r="E835" s="11">
        <v>1329895</v>
      </c>
      <c r="F835" s="10">
        <f>E835/(E835+I834)</f>
        <v>0.1873058836718908</v>
      </c>
      <c r="G835" s="11">
        <v>4339</v>
      </c>
      <c r="H835" s="10">
        <f t="shared" si="151"/>
        <v>0.74031735198771542</v>
      </c>
      <c r="I835" s="13">
        <v>932422</v>
      </c>
      <c r="J835" s="10">
        <f>I834/(E835+I834)</f>
        <v>0.81269411632810917</v>
      </c>
    </row>
    <row r="836" spans="1:13" ht="15.75">
      <c r="B836" s="15">
        <f>SUM(B831:B835)</f>
        <v>630953</v>
      </c>
      <c r="C836" s="16">
        <f>SUM(C831:C835)</f>
        <v>103193</v>
      </c>
      <c r="D836" s="17">
        <f t="shared" si="150"/>
        <v>0.1635510093461795</v>
      </c>
      <c r="E836" s="18">
        <f>SUM(E831:E835)</f>
        <v>410037968</v>
      </c>
      <c r="F836" s="10">
        <f>E836/(E836+I836)</f>
        <v>0.53552085273668426</v>
      </c>
      <c r="G836" s="18">
        <f>SUM(G831:G835)</f>
        <v>527760</v>
      </c>
      <c r="H836" s="17">
        <f t="shared" si="151"/>
        <v>0.8364489906538205</v>
      </c>
      <c r="I836" s="18">
        <f>SUM(I831:I835)</f>
        <v>355642707</v>
      </c>
      <c r="J836" s="10">
        <f>I836/(E836+I836)</f>
        <v>0.46447914726331574</v>
      </c>
    </row>
    <row r="837" spans="1:13" ht="15.75">
      <c r="A837" s="1" t="s">
        <v>0</v>
      </c>
      <c r="B837" s="3"/>
      <c r="J837" s="3"/>
    </row>
    <row r="838" spans="1:13" ht="15.75">
      <c r="A838" s="1" t="s">
        <v>93</v>
      </c>
      <c r="B838" s="2"/>
      <c r="C838" s="2" t="s">
        <v>2</v>
      </c>
      <c r="D838" s="2"/>
      <c r="E838" s="2"/>
      <c r="F838" s="2"/>
      <c r="G838" s="2" t="s">
        <v>3</v>
      </c>
      <c r="H838" s="2"/>
      <c r="I838" s="2"/>
      <c r="J838" s="2"/>
    </row>
    <row r="839" spans="1:13">
      <c r="B839" s="4" t="s">
        <v>4</v>
      </c>
      <c r="C839" s="4" t="s">
        <v>5</v>
      </c>
      <c r="D839" s="4"/>
      <c r="E839" s="4" t="s">
        <v>6</v>
      </c>
      <c r="F839" s="5"/>
      <c r="G839" s="4" t="s">
        <v>7</v>
      </c>
      <c r="H839" s="5"/>
      <c r="I839" s="5" t="s">
        <v>6</v>
      </c>
      <c r="J839" s="5"/>
    </row>
    <row r="840" spans="1:13">
      <c r="B840" s="4" t="s">
        <v>8</v>
      </c>
      <c r="C840" s="4" t="s">
        <v>8</v>
      </c>
      <c r="D840" s="4" t="s">
        <v>9</v>
      </c>
      <c r="E840" s="4" t="s">
        <v>8</v>
      </c>
      <c r="F840" s="5" t="s">
        <v>9</v>
      </c>
      <c r="G840" s="5" t="s">
        <v>8</v>
      </c>
      <c r="H840" s="5" t="s">
        <v>9</v>
      </c>
      <c r="I840" s="5" t="s">
        <v>8</v>
      </c>
      <c r="J840" s="5" t="s">
        <v>9</v>
      </c>
    </row>
    <row r="841" spans="1:13">
      <c r="B841" s="4"/>
      <c r="C841" s="4"/>
      <c r="D841" s="4"/>
      <c r="E841" s="4"/>
      <c r="F841" s="4"/>
      <c r="G841" s="4"/>
      <c r="H841" s="4"/>
      <c r="I841" s="4"/>
      <c r="J841" s="4"/>
      <c r="M841" s="19">
        <f>I1101+E1101</f>
        <v>692437946</v>
      </c>
    </row>
    <row r="842" spans="1:13">
      <c r="A842" s="3" t="s">
        <v>10</v>
      </c>
      <c r="B842" s="6">
        <f>C842+G842</f>
        <v>530133</v>
      </c>
      <c r="C842" s="7">
        <v>78592</v>
      </c>
      <c r="D842" s="8">
        <f t="shared" ref="D842:D847" si="152">C842/B842</f>
        <v>0.14824959019717693</v>
      </c>
      <c r="E842" s="11">
        <v>51306636</v>
      </c>
      <c r="F842" s="10">
        <f>E842/(E842+I842)</f>
        <v>0.15914722611880011</v>
      </c>
      <c r="G842" s="11">
        <v>451541</v>
      </c>
      <c r="H842" s="10">
        <f t="shared" ref="H842:H847" si="153">G842/B842</f>
        <v>0.85175040980282302</v>
      </c>
      <c r="I842" s="12">
        <v>271078097</v>
      </c>
      <c r="J842" s="10">
        <f>I842/(E842+I842)</f>
        <v>0.84085277388119994</v>
      </c>
      <c r="M842" s="19"/>
    </row>
    <row r="843" spans="1:13">
      <c r="A843" s="3" t="s">
        <v>11</v>
      </c>
      <c r="B843" s="6">
        <f>C843+G843</f>
        <v>51904</v>
      </c>
      <c r="C843" s="7">
        <v>14244</v>
      </c>
      <c r="D843" s="8">
        <f t="shared" si="152"/>
        <v>0.27442971639950681</v>
      </c>
      <c r="E843" s="11">
        <v>14883393</v>
      </c>
      <c r="F843" s="10">
        <f>E843/(E843+I843)</f>
        <v>0.26798005415348031</v>
      </c>
      <c r="G843" s="11">
        <v>37660</v>
      </c>
      <c r="H843" s="10">
        <f t="shared" si="153"/>
        <v>0.72557028360049325</v>
      </c>
      <c r="I843" s="12">
        <v>40655789</v>
      </c>
      <c r="J843" s="10">
        <f>I843/(E843+I843)</f>
        <v>0.73201994584651964</v>
      </c>
      <c r="M843" s="19"/>
    </row>
    <row r="844" spans="1:13">
      <c r="A844" s="3" t="s">
        <v>12</v>
      </c>
      <c r="B844" s="6">
        <f>C844+G844</f>
        <v>10374</v>
      </c>
      <c r="C844" s="7">
        <v>4412</v>
      </c>
      <c r="D844" s="8">
        <f t="shared" si="152"/>
        <v>0.42529400424137265</v>
      </c>
      <c r="E844" s="11">
        <v>103171416</v>
      </c>
      <c r="F844" s="10">
        <f>E844/(E844+I844)</f>
        <v>0.57432470790030266</v>
      </c>
      <c r="G844" s="11">
        <v>5962</v>
      </c>
      <c r="H844" s="10">
        <f t="shared" si="153"/>
        <v>0.57470599575862735</v>
      </c>
      <c r="I844" s="12">
        <v>76468106</v>
      </c>
      <c r="J844" s="10">
        <f>I844/(E844+I844)</f>
        <v>0.42567529209969729</v>
      </c>
    </row>
    <row r="845" spans="1:13">
      <c r="A845" s="3" t="s">
        <v>13</v>
      </c>
      <c r="B845" s="6">
        <f>C845+G845</f>
        <v>359</v>
      </c>
      <c r="C845" s="7">
        <v>312</v>
      </c>
      <c r="D845" s="8">
        <f t="shared" si="152"/>
        <v>0.86908077994428967</v>
      </c>
      <c r="E845" s="11">
        <v>266917394</v>
      </c>
      <c r="F845" s="10">
        <f>E845/(E845+I845)</f>
        <v>0.97723275150878341</v>
      </c>
      <c r="G845" s="11">
        <v>47</v>
      </c>
      <c r="H845" s="10">
        <f t="shared" si="153"/>
        <v>0.1309192200557103</v>
      </c>
      <c r="I845" s="12">
        <v>6218554</v>
      </c>
      <c r="J845" s="10">
        <f>I845/(E845+I845)</f>
        <v>2.2767248491216543E-2</v>
      </c>
      <c r="M845" s="19"/>
    </row>
    <row r="846" spans="1:13">
      <c r="A846" s="3" t="s">
        <v>65</v>
      </c>
      <c r="B846" s="6">
        <f>C846+G846</f>
        <v>5502</v>
      </c>
      <c r="C846" s="7">
        <v>1439</v>
      </c>
      <c r="D846" s="8">
        <f t="shared" si="152"/>
        <v>0.26154125772446385</v>
      </c>
      <c r="E846" s="11">
        <v>1991272</v>
      </c>
      <c r="F846" s="10">
        <f>E846/(E846+I845)</f>
        <v>0.24254740599861677</v>
      </c>
      <c r="G846" s="11">
        <v>4063</v>
      </c>
      <c r="H846" s="10">
        <f t="shared" si="153"/>
        <v>0.73845874227553621</v>
      </c>
      <c r="I846" s="13">
        <v>833263</v>
      </c>
      <c r="J846" s="10">
        <f>I845/(E846+I845)</f>
        <v>0.75745259400138321</v>
      </c>
    </row>
    <row r="847" spans="1:13" ht="15.75">
      <c r="B847" s="15">
        <f>SUM(B842:B846)</f>
        <v>598272</v>
      </c>
      <c r="C847" s="16">
        <f>SUM(C842:C846)</f>
        <v>98999</v>
      </c>
      <c r="D847" s="17">
        <f t="shared" si="152"/>
        <v>0.16547490104835258</v>
      </c>
      <c r="E847" s="18">
        <f>SUM(E842:E846)</f>
        <v>438270111</v>
      </c>
      <c r="F847" s="10">
        <f>E847/(E847+I847)</f>
        <v>0.52580387974948573</v>
      </c>
      <c r="G847" s="18">
        <f>SUM(G842:G846)</f>
        <v>499273</v>
      </c>
      <c r="H847" s="17">
        <f t="shared" si="153"/>
        <v>0.83452509895164739</v>
      </c>
      <c r="I847" s="18">
        <f>SUM(I842:I846)</f>
        <v>395253809</v>
      </c>
      <c r="J847" s="10">
        <f>I847/(E847+I847)</f>
        <v>0.47419612025051422</v>
      </c>
    </row>
    <row r="848" spans="1:13" ht="15.75">
      <c r="A848" s="1" t="s">
        <v>0</v>
      </c>
      <c r="B848" s="3"/>
      <c r="J848" s="3"/>
    </row>
    <row r="849" spans="1:13" ht="15.75">
      <c r="A849" s="1" t="s">
        <v>94</v>
      </c>
      <c r="B849" s="2"/>
      <c r="C849" s="2" t="s">
        <v>2</v>
      </c>
      <c r="D849" s="2"/>
      <c r="E849" s="2"/>
      <c r="F849" s="2"/>
      <c r="G849" s="2" t="s">
        <v>3</v>
      </c>
      <c r="H849" s="2"/>
      <c r="I849" s="2"/>
      <c r="J849" s="2"/>
    </row>
    <row r="850" spans="1:13">
      <c r="B850" s="4" t="s">
        <v>4</v>
      </c>
      <c r="C850" s="4" t="s">
        <v>5</v>
      </c>
      <c r="D850" s="4"/>
      <c r="E850" s="4" t="s">
        <v>6</v>
      </c>
      <c r="F850" s="5"/>
      <c r="G850" s="4" t="s">
        <v>7</v>
      </c>
      <c r="H850" s="5"/>
      <c r="I850" s="5" t="s">
        <v>6</v>
      </c>
      <c r="J850" s="5"/>
    </row>
    <row r="851" spans="1:13">
      <c r="B851" s="4" t="s">
        <v>8</v>
      </c>
      <c r="C851" s="4" t="s">
        <v>8</v>
      </c>
      <c r="D851" s="4" t="s">
        <v>9</v>
      </c>
      <c r="E851" s="4" t="s">
        <v>8</v>
      </c>
      <c r="F851" s="5" t="s">
        <v>9</v>
      </c>
      <c r="G851" s="5" t="s">
        <v>8</v>
      </c>
      <c r="H851" s="5" t="s">
        <v>9</v>
      </c>
      <c r="I851" s="5" t="s">
        <v>8</v>
      </c>
      <c r="J851" s="5" t="s">
        <v>9</v>
      </c>
    </row>
    <row r="852" spans="1:13">
      <c r="B852" s="4"/>
      <c r="C852" s="4"/>
      <c r="D852" s="4"/>
      <c r="E852" s="4"/>
      <c r="F852" s="4"/>
      <c r="G852" s="4"/>
      <c r="H852" s="4"/>
      <c r="I852" s="4"/>
      <c r="J852" s="4"/>
    </row>
    <row r="853" spans="1:13">
      <c r="A853" s="3" t="s">
        <v>10</v>
      </c>
      <c r="B853" s="6">
        <f>C853+G853</f>
        <v>557597</v>
      </c>
      <c r="C853" s="7">
        <v>83958</v>
      </c>
      <c r="D853" s="8">
        <f t="shared" ref="D853:D858" si="154">C853/B853</f>
        <v>0.15057111139407134</v>
      </c>
      <c r="E853" s="11">
        <v>57877010</v>
      </c>
      <c r="F853" s="10">
        <f>E853/(E853+I853)</f>
        <v>0.15964701930691999</v>
      </c>
      <c r="G853" s="11">
        <v>473639</v>
      </c>
      <c r="H853" s="10">
        <f t="shared" ref="H853:H858" si="155">G853/B853</f>
        <v>0.84942888860592869</v>
      </c>
      <c r="I853" s="12">
        <v>304654093</v>
      </c>
      <c r="J853" s="10">
        <f>I853/(E853+I853)</f>
        <v>0.84035298069307995</v>
      </c>
      <c r="M853" s="19"/>
    </row>
    <row r="854" spans="1:13">
      <c r="A854" s="3" t="s">
        <v>11</v>
      </c>
      <c r="B854" s="6">
        <f>C854+G854</f>
        <v>54847</v>
      </c>
      <c r="C854" s="7">
        <v>14914</v>
      </c>
      <c r="D854" s="8">
        <f t="shared" si="154"/>
        <v>0.27192006855434209</v>
      </c>
      <c r="E854" s="11">
        <v>13828080</v>
      </c>
      <c r="F854" s="10">
        <f>E854/(E854+I854)</f>
        <v>0.22537691944749855</v>
      </c>
      <c r="G854" s="11">
        <v>39933</v>
      </c>
      <c r="H854" s="10">
        <f t="shared" si="155"/>
        <v>0.72807993144565797</v>
      </c>
      <c r="I854" s="12">
        <v>47527271</v>
      </c>
      <c r="J854" s="10">
        <f>I854/(E854+I854)</f>
        <v>0.7746230805525014</v>
      </c>
      <c r="M854" s="19"/>
    </row>
    <row r="855" spans="1:13">
      <c r="A855" s="3" t="s">
        <v>12</v>
      </c>
      <c r="B855" s="6">
        <f>C855+G855</f>
        <v>10970</v>
      </c>
      <c r="C855" s="7">
        <v>4702</v>
      </c>
      <c r="D855" s="8">
        <f t="shared" si="154"/>
        <v>0.42862351868732906</v>
      </c>
      <c r="E855" s="11">
        <v>123700571</v>
      </c>
      <c r="F855" s="10">
        <f>E855/(E855+I855)</f>
        <v>0.5952406967833298</v>
      </c>
      <c r="G855" s="11">
        <v>6268</v>
      </c>
      <c r="H855" s="10">
        <f t="shared" si="155"/>
        <v>0.57137648131267094</v>
      </c>
      <c r="I855" s="12">
        <v>84115480</v>
      </c>
      <c r="J855" s="10">
        <f>I855/(E855+I855)</f>
        <v>0.4047593032166702</v>
      </c>
    </row>
    <row r="856" spans="1:13">
      <c r="A856" s="3" t="s">
        <v>13</v>
      </c>
      <c r="B856" s="6">
        <f>C856+G856</f>
        <v>411</v>
      </c>
      <c r="C856" s="7">
        <v>363</v>
      </c>
      <c r="D856" s="8">
        <f t="shared" si="154"/>
        <v>0.88321167883211682</v>
      </c>
      <c r="E856" s="11">
        <v>317054222</v>
      </c>
      <c r="F856" s="10">
        <f>E856/(E856+I856)</f>
        <v>0.98332547221014388</v>
      </c>
      <c r="G856" s="11">
        <v>48</v>
      </c>
      <c r="H856" s="10">
        <f t="shared" si="155"/>
        <v>0.11678832116788321</v>
      </c>
      <c r="I856" s="12">
        <v>5376378</v>
      </c>
      <c r="J856" s="10">
        <f>I856/(E856+I856)</f>
        <v>1.6674527789856175E-2</v>
      </c>
      <c r="M856" s="19">
        <f>I1110+E1110</f>
        <v>252941765</v>
      </c>
    </row>
    <row r="857" spans="1:13">
      <c r="A857" s="3" t="s">
        <v>65</v>
      </c>
      <c r="B857" s="6">
        <f>C857+G857</f>
        <v>5756</v>
      </c>
      <c r="C857" s="7">
        <v>1528</v>
      </c>
      <c r="D857" s="8">
        <f t="shared" si="154"/>
        <v>0.26546212647671996</v>
      </c>
      <c r="E857" s="11">
        <v>1711169</v>
      </c>
      <c r="F857" s="10">
        <f>E857/(E857+I856)</f>
        <v>0.24143317850308435</v>
      </c>
      <c r="G857" s="11">
        <v>4228</v>
      </c>
      <c r="H857" s="10">
        <f t="shared" si="155"/>
        <v>0.73453787352328004</v>
      </c>
      <c r="I857" s="13">
        <v>709012</v>
      </c>
      <c r="J857" s="10">
        <f>I856/(E857+I856)</f>
        <v>0.75856682149691568</v>
      </c>
    </row>
    <row r="858" spans="1:13" ht="15.75">
      <c r="B858" s="15">
        <f>SUM(B853:B857)</f>
        <v>629581</v>
      </c>
      <c r="C858" s="16">
        <f>SUM(C853:C857)</f>
        <v>105465</v>
      </c>
      <c r="D858" s="17">
        <f t="shared" si="154"/>
        <v>0.16751617345504391</v>
      </c>
      <c r="E858" s="18">
        <f>SUM(E853:E857)</f>
        <v>514171052</v>
      </c>
      <c r="F858" s="10">
        <f>E858/(E858+I858)</f>
        <v>0.53752473544897739</v>
      </c>
      <c r="G858" s="18">
        <f>SUM(G853:G857)</f>
        <v>524116</v>
      </c>
      <c r="H858" s="17">
        <f t="shared" si="155"/>
        <v>0.83248382654495612</v>
      </c>
      <c r="I858" s="18">
        <f>SUM(I853:I857)</f>
        <v>442382234</v>
      </c>
      <c r="J858" s="10">
        <f>I858/(E858+I858)</f>
        <v>0.46247526455102261</v>
      </c>
    </row>
    <row r="859" spans="1:13" ht="15.75">
      <c r="A859" s="1" t="s">
        <v>0</v>
      </c>
      <c r="B859" s="3"/>
      <c r="J859" s="3"/>
    </row>
    <row r="860" spans="1:13" ht="15.75">
      <c r="A860" s="1" t="s">
        <v>95</v>
      </c>
      <c r="B860" s="2"/>
      <c r="C860" s="2" t="s">
        <v>2</v>
      </c>
      <c r="D860" s="2"/>
      <c r="E860" s="2"/>
      <c r="F860" s="2"/>
      <c r="G860" s="2" t="s">
        <v>3</v>
      </c>
      <c r="H860" s="2"/>
      <c r="I860" s="2"/>
      <c r="J860" s="2"/>
    </row>
    <row r="861" spans="1:13">
      <c r="B861" s="4" t="s">
        <v>4</v>
      </c>
      <c r="C861" s="4" t="s">
        <v>5</v>
      </c>
      <c r="D861" s="4"/>
      <c r="E861" s="4" t="s">
        <v>6</v>
      </c>
      <c r="F861" s="5"/>
      <c r="G861" s="4" t="s">
        <v>7</v>
      </c>
      <c r="H861" s="5"/>
      <c r="I861" s="5" t="s">
        <v>6</v>
      </c>
      <c r="J861" s="5"/>
    </row>
    <row r="862" spans="1:13">
      <c r="B862" s="4" t="s">
        <v>8</v>
      </c>
      <c r="C862" s="4" t="s">
        <v>8</v>
      </c>
      <c r="D862" s="4" t="s">
        <v>9</v>
      </c>
      <c r="E862" s="4" t="s">
        <v>8</v>
      </c>
      <c r="F862" s="5" t="s">
        <v>9</v>
      </c>
      <c r="G862" s="5" t="s">
        <v>8</v>
      </c>
      <c r="H862" s="5" t="s">
        <v>9</v>
      </c>
      <c r="I862" s="5" t="s">
        <v>8</v>
      </c>
      <c r="J862" s="5" t="s">
        <v>9</v>
      </c>
    </row>
    <row r="863" spans="1:13">
      <c r="B863" s="4"/>
      <c r="C863" s="4"/>
      <c r="D863" s="4"/>
      <c r="E863" s="4"/>
      <c r="F863" s="4"/>
      <c r="G863" s="4"/>
      <c r="H863" s="4"/>
      <c r="I863" s="4"/>
      <c r="J863" s="4"/>
    </row>
    <row r="864" spans="1:13">
      <c r="A864" s="3" t="s">
        <v>10</v>
      </c>
      <c r="B864" s="6">
        <f>C864+G864</f>
        <v>556402</v>
      </c>
      <c r="C864" s="7">
        <v>84233</v>
      </c>
      <c r="D864" s="8">
        <f t="shared" ref="D864:D869" si="156">C864/B864</f>
        <v>0.15138874410947481</v>
      </c>
      <c r="E864" s="11">
        <v>50578350</v>
      </c>
      <c r="F864" s="10">
        <f>E864/(E864+I864)</f>
        <v>0.16104378520885407</v>
      </c>
      <c r="G864" s="11">
        <v>472169</v>
      </c>
      <c r="H864" s="10">
        <f t="shared" ref="H864:H869" si="157">G864/B864</f>
        <v>0.84861125589052522</v>
      </c>
      <c r="I864" s="12">
        <v>263487479.57800001</v>
      </c>
      <c r="J864" s="10">
        <f>I864/(E864+I864)</f>
        <v>0.8389562147911459</v>
      </c>
      <c r="M864" s="19"/>
    </row>
    <row r="865" spans="1:13">
      <c r="A865" s="3" t="s">
        <v>11</v>
      </c>
      <c r="B865" s="6">
        <f>C865+G865</f>
        <v>54571</v>
      </c>
      <c r="C865" s="7">
        <v>14918</v>
      </c>
      <c r="D865" s="8">
        <f t="shared" si="156"/>
        <v>0.27336863902072528</v>
      </c>
      <c r="E865" s="11">
        <v>12850604</v>
      </c>
      <c r="F865" s="10">
        <f>E865/(E865+I865)</f>
        <v>0.23981971556982112</v>
      </c>
      <c r="G865" s="11">
        <v>39653</v>
      </c>
      <c r="H865" s="10">
        <f t="shared" si="157"/>
        <v>0.72663136097927472</v>
      </c>
      <c r="I865" s="12">
        <v>40733831.163999997</v>
      </c>
      <c r="J865" s="10">
        <f>I865/(E865+I865)</f>
        <v>0.76018028443017893</v>
      </c>
    </row>
    <row r="866" spans="1:13">
      <c r="A866" s="3" t="s">
        <v>12</v>
      </c>
      <c r="B866" s="6">
        <f>C866+G866</f>
        <v>10904</v>
      </c>
      <c r="C866" s="7">
        <v>4701</v>
      </c>
      <c r="D866" s="8">
        <f t="shared" si="156"/>
        <v>0.43112619222303744</v>
      </c>
      <c r="E866" s="11">
        <v>107474477</v>
      </c>
      <c r="F866" s="10">
        <f>E866/(E866+I866)</f>
        <v>0.58998999671146757</v>
      </c>
      <c r="G866" s="11">
        <v>6203</v>
      </c>
      <c r="H866" s="10">
        <f t="shared" si="157"/>
        <v>0.56887380777696261</v>
      </c>
      <c r="I866" s="12">
        <v>74688742.035999998</v>
      </c>
      <c r="J866" s="10">
        <f>I866/(E866+I866)</f>
        <v>0.41001000328853232</v>
      </c>
    </row>
    <row r="867" spans="1:13">
      <c r="A867" s="3" t="s">
        <v>13</v>
      </c>
      <c r="B867" s="6">
        <f>C867+G867</f>
        <v>351</v>
      </c>
      <c r="C867" s="7">
        <v>303</v>
      </c>
      <c r="D867" s="8">
        <f t="shared" si="156"/>
        <v>0.86324786324786329</v>
      </c>
      <c r="E867" s="11">
        <v>200261914</v>
      </c>
      <c r="F867" s="10">
        <f>E867/(E867+I867)</f>
        <v>0.98020065912699927</v>
      </c>
      <c r="G867" s="11">
        <v>48</v>
      </c>
      <c r="H867" s="10">
        <f t="shared" si="157"/>
        <v>0.13675213675213677</v>
      </c>
      <c r="I867" s="12">
        <v>4045145.1060000001</v>
      </c>
      <c r="J867" s="10">
        <f>I867/(E867+I867)</f>
        <v>1.9799340873000722E-2</v>
      </c>
      <c r="M867" s="19"/>
    </row>
    <row r="868" spans="1:13">
      <c r="A868" s="3" t="s">
        <v>65</v>
      </c>
      <c r="B868" s="6">
        <f>C868+G868</f>
        <v>5783</v>
      </c>
      <c r="C868" s="7">
        <v>1531</v>
      </c>
      <c r="D868" s="8">
        <f t="shared" si="156"/>
        <v>0.26474148365900052</v>
      </c>
      <c r="E868" s="11">
        <v>1486665</v>
      </c>
      <c r="F868" s="10">
        <f>E868/(E868+I867)</f>
        <v>0.26874837919463462</v>
      </c>
      <c r="G868" s="11">
        <v>4252</v>
      </c>
      <c r="H868" s="10">
        <f t="shared" si="157"/>
        <v>0.73525851634099948</v>
      </c>
      <c r="I868" s="13" t="s">
        <v>96</v>
      </c>
      <c r="J868" s="10">
        <f>I867/(E868+I867)</f>
        <v>0.73125162080536532</v>
      </c>
    </row>
    <row r="869" spans="1:13" ht="15.75">
      <c r="B869" s="15">
        <f>SUM(B864:B868)</f>
        <v>628011</v>
      </c>
      <c r="C869" s="16">
        <f>SUM(C864:C868)</f>
        <v>105686</v>
      </c>
      <c r="D869" s="17">
        <f t="shared" si="156"/>
        <v>0.16828686121739905</v>
      </c>
      <c r="E869" s="18">
        <f>SUM(E864:E868)</f>
        <v>372652010</v>
      </c>
      <c r="F869" s="10">
        <f>E869/(E869+I869)</f>
        <v>0.49318217998948616</v>
      </c>
      <c r="G869" s="18">
        <f>SUM(G864:G868)</f>
        <v>522325</v>
      </c>
      <c r="H869" s="17">
        <f t="shared" si="157"/>
        <v>0.83171313878260089</v>
      </c>
      <c r="I869" s="18">
        <f>SUM(I864:I868)</f>
        <v>382955197.884</v>
      </c>
      <c r="J869" s="10">
        <f>I869/(E869+I869)</f>
        <v>0.50681782001051379</v>
      </c>
    </row>
    <row r="870" spans="1:13" ht="15.75">
      <c r="A870" s="1" t="s">
        <v>0</v>
      </c>
      <c r="B870" s="3"/>
      <c r="J870" s="3"/>
    </row>
    <row r="871" spans="1:13" ht="15.75">
      <c r="A871" s="1" t="s">
        <v>97</v>
      </c>
      <c r="B871" s="2"/>
      <c r="C871" s="2" t="s">
        <v>2</v>
      </c>
      <c r="D871" s="2"/>
      <c r="E871" s="2"/>
      <c r="F871" s="2"/>
      <c r="G871" s="2" t="s">
        <v>3</v>
      </c>
      <c r="H871" s="2"/>
      <c r="I871" s="2"/>
      <c r="J871" s="2"/>
    </row>
    <row r="872" spans="1:13">
      <c r="B872" s="4" t="s">
        <v>4</v>
      </c>
      <c r="C872" s="4" t="s">
        <v>5</v>
      </c>
      <c r="D872" s="4"/>
      <c r="E872" s="4" t="s">
        <v>6</v>
      </c>
      <c r="F872" s="5"/>
      <c r="G872" s="4" t="s">
        <v>7</v>
      </c>
      <c r="H872" s="5"/>
      <c r="I872" s="5" t="s">
        <v>6</v>
      </c>
      <c r="J872" s="5"/>
    </row>
    <row r="873" spans="1:13">
      <c r="B873" s="4" t="s">
        <v>8</v>
      </c>
      <c r="C873" s="4" t="s">
        <v>8</v>
      </c>
      <c r="D873" s="4" t="s">
        <v>9</v>
      </c>
      <c r="E873" s="4" t="s">
        <v>8</v>
      </c>
      <c r="F873" s="5" t="s">
        <v>9</v>
      </c>
      <c r="G873" s="5" t="s">
        <v>8</v>
      </c>
      <c r="H873" s="5" t="s">
        <v>9</v>
      </c>
      <c r="I873" s="5" t="s">
        <v>8</v>
      </c>
      <c r="J873" s="5" t="s">
        <v>9</v>
      </c>
    </row>
    <row r="874" spans="1:13">
      <c r="B874" s="4"/>
      <c r="C874" s="4"/>
      <c r="D874" s="4"/>
      <c r="E874" s="4"/>
      <c r="F874" s="4"/>
      <c r="G874" s="4"/>
      <c r="H874" s="4"/>
      <c r="I874" s="4"/>
      <c r="J874" s="4"/>
    </row>
    <row r="875" spans="1:13">
      <c r="A875" s="3" t="s">
        <v>10</v>
      </c>
      <c r="B875" s="6">
        <f>C875+G875</f>
        <v>601775</v>
      </c>
      <c r="C875" s="7">
        <v>83844</v>
      </c>
      <c r="D875" s="8">
        <f t="shared" ref="D875:D880" si="158">C875/B875</f>
        <v>0.13932782186032985</v>
      </c>
      <c r="E875" s="11">
        <v>43832120</v>
      </c>
      <c r="F875" s="10">
        <f>E875/(E875+I875)</f>
        <v>0.16061543049694291</v>
      </c>
      <c r="G875" s="11">
        <v>517931</v>
      </c>
      <c r="H875" s="10">
        <f t="shared" ref="H875:H880" si="159">G875/B875</f>
        <v>0.86067217813967012</v>
      </c>
      <c r="I875" s="12">
        <v>229068932.31099999</v>
      </c>
      <c r="J875" s="10">
        <f>I875/(E875+I875)</f>
        <v>0.83938456950305707</v>
      </c>
    </row>
    <row r="876" spans="1:13">
      <c r="A876" s="3" t="s">
        <v>11</v>
      </c>
      <c r="B876" s="6">
        <f>C876+G876</f>
        <v>54316</v>
      </c>
      <c r="C876" s="7">
        <v>14912</v>
      </c>
      <c r="D876" s="8">
        <f t="shared" si="158"/>
        <v>0.27454157154429631</v>
      </c>
      <c r="E876" s="11">
        <v>12362041</v>
      </c>
      <c r="F876" s="10">
        <f>E876/(E876+I876)</f>
        <v>0.25475290181501897</v>
      </c>
      <c r="G876" s="11">
        <v>39404</v>
      </c>
      <c r="H876" s="10">
        <f t="shared" si="159"/>
        <v>0.72545842845570363</v>
      </c>
      <c r="I876" s="12">
        <v>36163573.082999997</v>
      </c>
      <c r="J876" s="10">
        <f>I876/(E876+I876)</f>
        <v>0.74524709818498103</v>
      </c>
    </row>
    <row r="877" spans="1:13">
      <c r="A877" s="3" t="s">
        <v>12</v>
      </c>
      <c r="B877" s="6">
        <f>C877+G877</f>
        <v>10772</v>
      </c>
      <c r="C877" s="7">
        <v>4639</v>
      </c>
      <c r="D877" s="8">
        <f t="shared" si="158"/>
        <v>0.43065354623096919</v>
      </c>
      <c r="E877" s="11">
        <v>90159488</v>
      </c>
      <c r="F877" s="10">
        <f>E877/(E877+I877)</f>
        <v>0.57757300182377147</v>
      </c>
      <c r="G877" s="11">
        <v>6133</v>
      </c>
      <c r="H877" s="10">
        <f t="shared" si="159"/>
        <v>0.56934645376903081</v>
      </c>
      <c r="I877" s="12">
        <v>65941104.851999998</v>
      </c>
      <c r="J877" s="10">
        <f>I877/(E877+I877)</f>
        <v>0.42242699817622853</v>
      </c>
    </row>
    <row r="878" spans="1:13">
      <c r="A878" s="3" t="s">
        <v>13</v>
      </c>
      <c r="B878" s="6">
        <f>C878+G878</f>
        <v>355</v>
      </c>
      <c r="C878" s="7">
        <v>307</v>
      </c>
      <c r="D878" s="8">
        <f t="shared" si="158"/>
        <v>0.86478873239436616</v>
      </c>
      <c r="E878" s="11">
        <v>239171272</v>
      </c>
      <c r="F878" s="10">
        <f>E878/(E878+I878)</f>
        <v>0.97323110007092284</v>
      </c>
      <c r="G878" s="11">
        <v>48</v>
      </c>
      <c r="H878" s="10">
        <f t="shared" si="159"/>
        <v>0.13521126760563379</v>
      </c>
      <c r="I878" s="12">
        <v>6578449.7079999996</v>
      </c>
      <c r="J878" s="10">
        <f>I878/(E878+I878)</f>
        <v>2.6768899929077106E-2</v>
      </c>
      <c r="M878" s="19"/>
    </row>
    <row r="879" spans="1:13">
      <c r="A879" s="3" t="s">
        <v>65</v>
      </c>
      <c r="B879" s="6">
        <f>C879+G879</f>
        <v>5776</v>
      </c>
      <c r="C879" s="7">
        <v>1516</v>
      </c>
      <c r="D879" s="8">
        <f t="shared" si="158"/>
        <v>0.26246537396121883</v>
      </c>
      <c r="E879" s="11">
        <v>1616600</v>
      </c>
      <c r="F879" s="10">
        <f>E879/(E879+I878)</f>
        <v>0.19726542944844822</v>
      </c>
      <c r="G879" s="11">
        <v>4260</v>
      </c>
      <c r="H879" s="10">
        <f t="shared" si="159"/>
        <v>0.73753462603878117</v>
      </c>
      <c r="I879" s="13">
        <v>686670</v>
      </c>
      <c r="J879" s="10">
        <f>I878/(E879+I878)</f>
        <v>0.80273457055155184</v>
      </c>
    </row>
    <row r="880" spans="1:13" ht="15.75">
      <c r="B880" s="15">
        <f>SUM(B875:B879)</f>
        <v>672994</v>
      </c>
      <c r="C880" s="16">
        <f>SUM(C875:C879)</f>
        <v>105218</v>
      </c>
      <c r="D880" s="17">
        <f t="shared" si="158"/>
        <v>0.15634314719001952</v>
      </c>
      <c r="E880" s="18">
        <f>SUM(E875:E879)</f>
        <v>387141521</v>
      </c>
      <c r="F880" s="10">
        <f>E880/(E880+I880)</f>
        <v>0.5335612711219504</v>
      </c>
      <c r="G880" s="18">
        <f>SUM(G875:G879)</f>
        <v>567776</v>
      </c>
      <c r="H880" s="17">
        <f t="shared" si="159"/>
        <v>0.84365685280998048</v>
      </c>
      <c r="I880" s="18">
        <f>SUM(I875:I879)</f>
        <v>338438729.954</v>
      </c>
      <c r="J880" s="10">
        <f>I880/(E880+I880)</f>
        <v>0.4664387288780496</v>
      </c>
    </row>
    <row r="881" spans="1:13" ht="15.75">
      <c r="A881" s="1" t="s">
        <v>0</v>
      </c>
      <c r="B881" s="3"/>
      <c r="J881" s="3"/>
    </row>
    <row r="882" spans="1:13" ht="15.75">
      <c r="A882" s="1" t="s">
        <v>98</v>
      </c>
      <c r="B882" s="2"/>
      <c r="C882" s="2" t="s">
        <v>2</v>
      </c>
      <c r="D882" s="2"/>
      <c r="E882" s="2"/>
      <c r="F882" s="2"/>
      <c r="G882" s="2" t="s">
        <v>3</v>
      </c>
      <c r="H882" s="2"/>
      <c r="I882" s="2"/>
      <c r="J882" s="2"/>
    </row>
    <row r="883" spans="1:13">
      <c r="B883" s="4" t="s">
        <v>4</v>
      </c>
      <c r="C883" s="4" t="s">
        <v>5</v>
      </c>
      <c r="D883" s="4"/>
      <c r="E883" s="4" t="s">
        <v>6</v>
      </c>
      <c r="F883" s="5"/>
      <c r="G883" s="4" t="s">
        <v>7</v>
      </c>
      <c r="H883" s="5"/>
      <c r="I883" s="5" t="s">
        <v>6</v>
      </c>
      <c r="J883" s="5"/>
    </row>
    <row r="884" spans="1:13">
      <c r="B884" s="4" t="s">
        <v>8</v>
      </c>
      <c r="C884" s="4" t="s">
        <v>8</v>
      </c>
      <c r="D884" s="4" t="s">
        <v>9</v>
      </c>
      <c r="E884" s="4" t="s">
        <v>8</v>
      </c>
      <c r="F884" s="5" t="s">
        <v>9</v>
      </c>
      <c r="G884" s="5" t="s">
        <v>8</v>
      </c>
      <c r="H884" s="5" t="s">
        <v>9</v>
      </c>
      <c r="I884" s="5" t="s">
        <v>8</v>
      </c>
      <c r="J884" s="5" t="s">
        <v>9</v>
      </c>
    </row>
    <row r="885" spans="1:13">
      <c r="B885" s="4"/>
      <c r="C885" s="4"/>
      <c r="D885" s="4"/>
      <c r="E885" s="4"/>
      <c r="F885" s="4"/>
      <c r="G885" s="4"/>
      <c r="H885" s="4"/>
      <c r="I885" s="4"/>
      <c r="J885" s="4"/>
    </row>
    <row r="886" spans="1:13">
      <c r="A886" s="3" t="s">
        <v>10</v>
      </c>
      <c r="B886" s="6">
        <f>C886+G886</f>
        <v>555872</v>
      </c>
      <c r="C886" s="7">
        <v>84020</v>
      </c>
      <c r="D886" s="8">
        <f t="shared" ref="D886:D891" si="160">C886/B886</f>
        <v>0.15114990501410397</v>
      </c>
      <c r="E886" s="11">
        <v>39811369</v>
      </c>
      <c r="F886" s="10">
        <f>E886/(E886+I886)</f>
        <v>0.15660294175924064</v>
      </c>
      <c r="G886" s="11">
        <v>471852</v>
      </c>
      <c r="H886" s="10">
        <f t="shared" ref="H886:H891" si="161">G886/B886</f>
        <v>0.84885009498589603</v>
      </c>
      <c r="I886" s="12">
        <v>214407156.86399999</v>
      </c>
      <c r="J886" s="10">
        <f>I886/(E886+I886)</f>
        <v>0.84339705824075939</v>
      </c>
    </row>
    <row r="887" spans="1:13">
      <c r="A887" s="3" t="s">
        <v>11</v>
      </c>
      <c r="B887" s="6">
        <f>C887+G887</f>
        <v>54537</v>
      </c>
      <c r="C887" s="7">
        <v>14788</v>
      </c>
      <c r="D887" s="8">
        <f t="shared" si="160"/>
        <v>0.27115536241450761</v>
      </c>
      <c r="E887" s="11">
        <v>11407761</v>
      </c>
      <c r="F887" s="10">
        <f>E887/(E887+I887)</f>
        <v>0.25661007528665541</v>
      </c>
      <c r="G887" s="11">
        <v>39749</v>
      </c>
      <c r="H887" s="10">
        <f t="shared" si="161"/>
        <v>0.72884463758549245</v>
      </c>
      <c r="I887" s="12">
        <v>33047862.916000001</v>
      </c>
      <c r="J887" s="10">
        <f>I887/(E887+I887)</f>
        <v>0.74338992471334453</v>
      </c>
    </row>
    <row r="888" spans="1:13">
      <c r="A888" s="3" t="s">
        <v>12</v>
      </c>
      <c r="B888" s="6">
        <f>C888+G888</f>
        <v>11005</v>
      </c>
      <c r="C888" s="7">
        <v>4750</v>
      </c>
      <c r="D888" s="8">
        <f t="shared" si="160"/>
        <v>0.43162199000454338</v>
      </c>
      <c r="E888" s="11">
        <v>99219335</v>
      </c>
      <c r="F888" s="10">
        <f>E888/(E888+I888)</f>
        <v>0.63600112528337138</v>
      </c>
      <c r="G888" s="11">
        <v>6255</v>
      </c>
      <c r="H888" s="10">
        <f t="shared" si="161"/>
        <v>0.56837800999545662</v>
      </c>
      <c r="I888" s="12">
        <v>56785632.689000003</v>
      </c>
      <c r="J888" s="10">
        <f>I888/(E888+I888)</f>
        <v>0.36399887471662856</v>
      </c>
    </row>
    <row r="889" spans="1:13">
      <c r="A889" s="3" t="s">
        <v>13</v>
      </c>
      <c r="B889" s="6">
        <f>C889+G889</f>
        <v>371</v>
      </c>
      <c r="C889" s="7">
        <v>322</v>
      </c>
      <c r="D889" s="8">
        <f t="shared" si="160"/>
        <v>0.86792452830188682</v>
      </c>
      <c r="E889" s="11">
        <v>218398024</v>
      </c>
      <c r="F889" s="10">
        <f>E889/(E889+I889)</f>
        <v>0.97664092555896753</v>
      </c>
      <c r="G889" s="11">
        <v>49</v>
      </c>
      <c r="H889" s="10">
        <f t="shared" si="161"/>
        <v>0.13207547169811321</v>
      </c>
      <c r="I889" s="12">
        <v>5223594.0219999999</v>
      </c>
      <c r="J889" s="10">
        <f>I889/(E889+I889)</f>
        <v>2.335907444103235E-2</v>
      </c>
      <c r="M889" s="19"/>
    </row>
    <row r="890" spans="1:13">
      <c r="A890" s="3" t="s">
        <v>65</v>
      </c>
      <c r="B890" s="6">
        <f>C890+G890</f>
        <v>5355</v>
      </c>
      <c r="C890" s="7">
        <v>1536</v>
      </c>
      <c r="D890" s="8">
        <f t="shared" si="160"/>
        <v>0.2868347338935574</v>
      </c>
      <c r="E890" s="11">
        <v>1518421</v>
      </c>
      <c r="F890" s="10">
        <f>E890/(E890+I889)</f>
        <v>0.22521768270245779</v>
      </c>
      <c r="G890" s="11">
        <v>3819</v>
      </c>
      <c r="H890" s="10">
        <f t="shared" si="161"/>
        <v>0.7131652661064426</v>
      </c>
      <c r="I890" s="13">
        <v>592856</v>
      </c>
      <c r="J890" s="10">
        <f>I889/(E890+I889)</f>
        <v>0.77478231729754221</v>
      </c>
    </row>
    <row r="891" spans="1:13" ht="15.75">
      <c r="B891" s="15">
        <f>SUM(B886:B890)</f>
        <v>627140</v>
      </c>
      <c r="C891" s="16">
        <f>SUM(C886:C890)</f>
        <v>105416</v>
      </c>
      <c r="D891" s="17">
        <f t="shared" si="160"/>
        <v>0.168090059635807</v>
      </c>
      <c r="E891" s="18">
        <f>SUM(E886:E890)</f>
        <v>370354910</v>
      </c>
      <c r="F891" s="10">
        <f>E891/(E891+I891)</f>
        <v>0.54430977584320472</v>
      </c>
      <c r="G891" s="18">
        <f>SUM(G886:G890)</f>
        <v>521724</v>
      </c>
      <c r="H891" s="17">
        <f t="shared" si="161"/>
        <v>0.83190994036419297</v>
      </c>
      <c r="I891" s="18">
        <f>SUM(I886:I890)</f>
        <v>310057102.491</v>
      </c>
      <c r="J891" s="10">
        <f>I891/(E891+I891)</f>
        <v>0.45569022415679533</v>
      </c>
    </row>
    <row r="892" spans="1:13" ht="15.75">
      <c r="A892" s="1" t="s">
        <v>0</v>
      </c>
      <c r="B892" s="3"/>
      <c r="J892" s="3"/>
    </row>
    <row r="893" spans="1:13" ht="15.75">
      <c r="A893" s="1" t="s">
        <v>99</v>
      </c>
      <c r="B893" s="2"/>
      <c r="C893" s="2" t="s">
        <v>2</v>
      </c>
      <c r="D893" s="2"/>
      <c r="E893" s="2"/>
      <c r="F893" s="2"/>
      <c r="G893" s="2" t="s">
        <v>3</v>
      </c>
      <c r="H893" s="2"/>
      <c r="I893" s="2"/>
      <c r="J893" s="2"/>
    </row>
    <row r="894" spans="1:13">
      <c r="B894" s="4" t="s">
        <v>4</v>
      </c>
      <c r="C894" s="4" t="s">
        <v>5</v>
      </c>
      <c r="D894" s="4"/>
      <c r="E894" s="4" t="s">
        <v>6</v>
      </c>
      <c r="F894" s="5"/>
      <c r="G894" s="4" t="s">
        <v>7</v>
      </c>
      <c r="H894" s="5"/>
      <c r="I894" s="5" t="s">
        <v>6</v>
      </c>
      <c r="J894" s="5"/>
    </row>
    <row r="895" spans="1:13">
      <c r="B895" s="4" t="s">
        <v>8</v>
      </c>
      <c r="C895" s="4" t="s">
        <v>8</v>
      </c>
      <c r="D895" s="4" t="s">
        <v>9</v>
      </c>
      <c r="E895" s="4" t="s">
        <v>8</v>
      </c>
      <c r="F895" s="5" t="s">
        <v>9</v>
      </c>
      <c r="G895" s="5" t="s">
        <v>8</v>
      </c>
      <c r="H895" s="5" t="s">
        <v>9</v>
      </c>
      <c r="I895" s="5" t="s">
        <v>8</v>
      </c>
      <c r="J895" s="5" t="s">
        <v>9</v>
      </c>
    </row>
    <row r="896" spans="1:13">
      <c r="B896" s="4"/>
      <c r="C896" s="4"/>
      <c r="D896" s="4"/>
      <c r="E896" s="4"/>
      <c r="F896" s="4"/>
      <c r="G896" s="4"/>
      <c r="H896" s="4"/>
      <c r="I896" s="4"/>
      <c r="J896" s="4"/>
    </row>
    <row r="897" spans="1:13">
      <c r="A897" s="3" t="s">
        <v>10</v>
      </c>
      <c r="B897" s="6">
        <v>554091</v>
      </c>
      <c r="C897" s="7">
        <v>84262</v>
      </c>
      <c r="D897" s="8">
        <f t="shared" ref="D897:D902" si="162">C897/B897</f>
        <v>0.15207249350738417</v>
      </c>
      <c r="E897" s="11">
        <v>46429446</v>
      </c>
      <c r="F897" s="10">
        <f>E897/(E897+I897)</f>
        <v>0.15347966112714506</v>
      </c>
      <c r="G897" s="11">
        <v>469829</v>
      </c>
      <c r="H897" s="10">
        <f t="shared" ref="H897:H902" si="163">G897/B897</f>
        <v>0.84792750649261583</v>
      </c>
      <c r="I897" s="12">
        <v>256082598</v>
      </c>
      <c r="J897" s="10">
        <f>I897/(E897+I897)</f>
        <v>0.84652033887285494</v>
      </c>
    </row>
    <row r="898" spans="1:13">
      <c r="A898" s="3" t="s">
        <v>11</v>
      </c>
      <c r="B898" s="6">
        <v>52884</v>
      </c>
      <c r="C898" s="7">
        <v>13247</v>
      </c>
      <c r="D898" s="8">
        <f t="shared" si="162"/>
        <v>0.25049164208456243</v>
      </c>
      <c r="E898" s="11">
        <v>11858124</v>
      </c>
      <c r="F898" s="10">
        <f>E898/(E898+I898)</f>
        <v>0.23786457058111002</v>
      </c>
      <c r="G898" s="11">
        <v>39637</v>
      </c>
      <c r="H898" s="10">
        <f t="shared" si="163"/>
        <v>0.74950835791543757</v>
      </c>
      <c r="I898" s="12">
        <v>37994294</v>
      </c>
      <c r="J898" s="10">
        <f>I898/(E898+I898)</f>
        <v>0.76213542941889001</v>
      </c>
    </row>
    <row r="899" spans="1:13">
      <c r="A899" s="3" t="s">
        <v>12</v>
      </c>
      <c r="B899" s="6">
        <v>11036</v>
      </c>
      <c r="C899" s="7">
        <v>4845</v>
      </c>
      <c r="D899" s="8">
        <f t="shared" si="162"/>
        <v>0.43901776005799203</v>
      </c>
      <c r="E899" s="11">
        <v>99186460</v>
      </c>
      <c r="F899" s="10">
        <f>E899/(E899+I899)</f>
        <v>0.62881070414376128</v>
      </c>
      <c r="G899" s="11">
        <v>6191</v>
      </c>
      <c r="H899" s="10">
        <f t="shared" si="163"/>
        <v>0.56098223994200802</v>
      </c>
      <c r="I899" s="12">
        <v>58550136</v>
      </c>
      <c r="J899" s="10">
        <f>I899/(E899+I899)</f>
        <v>0.37118929585623872</v>
      </c>
    </row>
    <row r="900" spans="1:13">
      <c r="A900" s="3" t="s">
        <v>13</v>
      </c>
      <c r="B900" s="6">
        <v>375</v>
      </c>
      <c r="C900" s="7">
        <v>330</v>
      </c>
      <c r="D900" s="8">
        <f t="shared" si="162"/>
        <v>0.88</v>
      </c>
      <c r="E900" s="11">
        <v>212922759</v>
      </c>
      <c r="F900" s="10">
        <f>E900/(E900+I900)</f>
        <v>0.9778319838130215</v>
      </c>
      <c r="G900" s="11">
        <v>45</v>
      </c>
      <c r="H900" s="10">
        <f t="shared" si="163"/>
        <v>0.12</v>
      </c>
      <c r="I900" s="12">
        <v>4827082</v>
      </c>
      <c r="J900" s="10">
        <f>I900/(E900+I900)</f>
        <v>2.2168016186978525E-2</v>
      </c>
      <c r="M900" s="19"/>
    </row>
    <row r="901" spans="1:13">
      <c r="A901" s="3" t="s">
        <v>65</v>
      </c>
      <c r="B901" s="6">
        <v>5861</v>
      </c>
      <c r="C901" s="7">
        <v>1549</v>
      </c>
      <c r="D901" s="8">
        <f t="shared" si="162"/>
        <v>0.26428937041460504</v>
      </c>
      <c r="E901" s="11">
        <v>1957322</v>
      </c>
      <c r="F901" s="10">
        <f>E901/(E901+I900)</f>
        <v>0.28850316107354457</v>
      </c>
      <c r="G901" s="11">
        <v>4312</v>
      </c>
      <c r="H901" s="10">
        <f t="shared" si="163"/>
        <v>0.73571062958539502</v>
      </c>
      <c r="I901" s="13">
        <v>836738</v>
      </c>
      <c r="J901" s="10">
        <f>I900/(E901+I900)</f>
        <v>0.71149683892645543</v>
      </c>
    </row>
    <row r="902" spans="1:13" ht="15.75">
      <c r="B902" s="15">
        <f>SUM(B897:B901)</f>
        <v>624247</v>
      </c>
      <c r="C902" s="16">
        <f>SUM(C897:C901)</f>
        <v>104233</v>
      </c>
      <c r="D902" s="17">
        <f t="shared" si="162"/>
        <v>0.16697397023934435</v>
      </c>
      <c r="E902" s="18">
        <f>SUM(E897:E901)</f>
        <v>372354111</v>
      </c>
      <c r="F902" s="10">
        <f>E902/(E902+I902)</f>
        <v>0.50962386917665714</v>
      </c>
      <c r="G902" s="18">
        <f>SUM(G897:G901)</f>
        <v>520014</v>
      </c>
      <c r="H902" s="17">
        <f t="shared" si="163"/>
        <v>0.83302602976065565</v>
      </c>
      <c r="I902" s="18">
        <f>SUM(I897:I901)</f>
        <v>358290848</v>
      </c>
      <c r="J902" s="10">
        <f>I902/(E902+I902)</f>
        <v>0.49037613082334286</v>
      </c>
    </row>
    <row r="903" spans="1:13" ht="15.75">
      <c r="A903" s="1" t="s">
        <v>0</v>
      </c>
      <c r="B903" s="3"/>
      <c r="J903" s="3"/>
    </row>
    <row r="904" spans="1:13" ht="15.75">
      <c r="A904" s="1" t="s">
        <v>100</v>
      </c>
      <c r="B904" s="2"/>
      <c r="C904" s="2" t="s">
        <v>2</v>
      </c>
      <c r="D904" s="2"/>
      <c r="E904" s="2"/>
      <c r="F904" s="2"/>
      <c r="G904" s="2" t="s">
        <v>3</v>
      </c>
      <c r="H904" s="2"/>
      <c r="I904" s="2"/>
      <c r="J904" s="2"/>
    </row>
    <row r="905" spans="1:13">
      <c r="B905" s="4" t="s">
        <v>4</v>
      </c>
      <c r="C905" s="4" t="s">
        <v>5</v>
      </c>
      <c r="D905" s="4"/>
      <c r="E905" s="4" t="s">
        <v>6</v>
      </c>
      <c r="F905" s="5"/>
      <c r="G905" s="4" t="s">
        <v>7</v>
      </c>
      <c r="H905" s="5"/>
      <c r="I905" s="5" t="s">
        <v>6</v>
      </c>
      <c r="J905" s="5"/>
    </row>
    <row r="906" spans="1:13">
      <c r="B906" s="4" t="s">
        <v>8</v>
      </c>
      <c r="C906" s="4" t="s">
        <v>8</v>
      </c>
      <c r="D906" s="4" t="s">
        <v>9</v>
      </c>
      <c r="E906" s="4" t="s">
        <v>8</v>
      </c>
      <c r="F906" s="5" t="s">
        <v>9</v>
      </c>
      <c r="G906" s="5" t="s">
        <v>8</v>
      </c>
      <c r="H906" s="5" t="s">
        <v>9</v>
      </c>
      <c r="I906" s="5" t="s">
        <v>8</v>
      </c>
      <c r="J906" s="5" t="s">
        <v>9</v>
      </c>
    </row>
    <row r="907" spans="1:13">
      <c r="B907" s="4"/>
      <c r="C907" s="4"/>
      <c r="D907" s="4"/>
      <c r="E907" s="4"/>
      <c r="F907" s="4"/>
      <c r="G907" s="4"/>
      <c r="H907" s="4"/>
      <c r="I907" s="4"/>
      <c r="J907" s="4"/>
    </row>
    <row r="908" spans="1:13">
      <c r="A908" s="3" t="s">
        <v>10</v>
      </c>
      <c r="B908" s="6">
        <f>C908+G908</f>
        <v>556286</v>
      </c>
      <c r="C908" s="7">
        <v>85766</v>
      </c>
      <c r="D908" s="8">
        <f t="shared" ref="D908:D913" si="164">C908/B908</f>
        <v>0.15417608927781754</v>
      </c>
      <c r="E908" s="11">
        <v>51132608</v>
      </c>
      <c r="F908" s="10">
        <f t="shared" ref="F908:F913" si="165">E908/(E908+I908)</f>
        <v>0.15432001634250569</v>
      </c>
      <c r="G908" s="11">
        <v>470520</v>
      </c>
      <c r="H908" s="10">
        <f t="shared" ref="H908:H913" si="166">G908/B908</f>
        <v>0.84582391072218244</v>
      </c>
      <c r="I908" s="12">
        <v>280208777.33600003</v>
      </c>
      <c r="J908" s="10">
        <f t="shared" ref="J908:J913" si="167">I908/(E908+I908)</f>
        <v>0.84567998365749431</v>
      </c>
    </row>
    <row r="909" spans="1:13">
      <c r="A909" s="3" t="s">
        <v>11</v>
      </c>
      <c r="B909" s="6">
        <f>C909+G909</f>
        <v>54654</v>
      </c>
      <c r="C909" s="7">
        <v>14780</v>
      </c>
      <c r="D909" s="8">
        <f t="shared" si="164"/>
        <v>0.270428513923958</v>
      </c>
      <c r="E909" s="11">
        <v>11065051</v>
      </c>
      <c r="F909" s="10">
        <f t="shared" si="165"/>
        <v>0.21423679794660055</v>
      </c>
      <c r="G909" s="11">
        <v>39874</v>
      </c>
      <c r="H909" s="10">
        <f t="shared" si="166"/>
        <v>0.72957148607604205</v>
      </c>
      <c r="I909" s="12">
        <v>40583643.836999997</v>
      </c>
      <c r="J909" s="10">
        <f t="shared" si="167"/>
        <v>0.78576320205339945</v>
      </c>
    </row>
    <row r="910" spans="1:13">
      <c r="A910" s="3" t="s">
        <v>12</v>
      </c>
      <c r="B910" s="6">
        <f>C910+G910</f>
        <v>11297</v>
      </c>
      <c r="C910" s="7">
        <v>4957</v>
      </c>
      <c r="D910" s="8">
        <f t="shared" si="164"/>
        <v>0.43878905904222359</v>
      </c>
      <c r="E910" s="11">
        <v>103356014</v>
      </c>
      <c r="F910" s="10">
        <f t="shared" si="165"/>
        <v>0.62457378382623407</v>
      </c>
      <c r="G910" s="11">
        <v>6340</v>
      </c>
      <c r="H910" s="10">
        <f t="shared" si="166"/>
        <v>0.56121094095777635</v>
      </c>
      <c r="I910" s="12">
        <v>62126458.490000002</v>
      </c>
      <c r="J910" s="10">
        <f t="shared" si="167"/>
        <v>0.37542621617376581</v>
      </c>
    </row>
    <row r="911" spans="1:13">
      <c r="A911" s="3" t="s">
        <v>13</v>
      </c>
      <c r="B911" s="6">
        <f>C911+G911</f>
        <v>386</v>
      </c>
      <c r="C911" s="7">
        <v>334</v>
      </c>
      <c r="D911" s="8">
        <f t="shared" si="164"/>
        <v>0.86528497409326421</v>
      </c>
      <c r="E911" s="11">
        <v>171596767</v>
      </c>
      <c r="F911" s="10">
        <f t="shared" si="165"/>
        <v>0.95408288378464678</v>
      </c>
      <c r="G911" s="11">
        <v>52</v>
      </c>
      <c r="H911" s="10">
        <f t="shared" si="166"/>
        <v>0.13471502590673576</v>
      </c>
      <c r="I911" s="12">
        <v>8258432.0779999997</v>
      </c>
      <c r="J911" s="10">
        <f t="shared" si="167"/>
        <v>4.5917116215353132E-2</v>
      </c>
      <c r="M911" s="19"/>
    </row>
    <row r="912" spans="1:13">
      <c r="A912" s="3" t="s">
        <v>65</v>
      </c>
      <c r="B912" s="6">
        <f>C912+G912</f>
        <v>5953</v>
      </c>
      <c r="C912" s="7">
        <v>1588</v>
      </c>
      <c r="D912" s="8">
        <f t="shared" si="164"/>
        <v>0.26675625734923569</v>
      </c>
      <c r="E912" s="11">
        <v>2293852</v>
      </c>
      <c r="F912" s="10">
        <f>E912/(E912+I911)</f>
        <v>0.21737966709807904</v>
      </c>
      <c r="G912" s="11">
        <v>4365</v>
      </c>
      <c r="H912" s="10">
        <f t="shared" si="166"/>
        <v>0.73324374265076431</v>
      </c>
      <c r="I912" s="13">
        <v>945552</v>
      </c>
      <c r="J912" s="10">
        <f>I911/(E912+I911)</f>
        <v>0.7826203329019209</v>
      </c>
    </row>
    <row r="913" spans="1:13" ht="15.75">
      <c r="B913" s="15">
        <f>SUM(B908:B912)</f>
        <v>628576</v>
      </c>
      <c r="C913" s="16">
        <f>SUM(C908:C912)</f>
        <v>107425</v>
      </c>
      <c r="D913" s="17">
        <f t="shared" si="164"/>
        <v>0.17090216616606424</v>
      </c>
      <c r="E913" s="18">
        <f>SUM(E908:E912)</f>
        <v>339444292</v>
      </c>
      <c r="F913" s="10">
        <f t="shared" si="165"/>
        <v>0.46399607928841319</v>
      </c>
      <c r="G913" s="18">
        <f>SUM(G908:G912)</f>
        <v>521151</v>
      </c>
      <c r="H913" s="17">
        <f t="shared" si="166"/>
        <v>0.82909783383393576</v>
      </c>
      <c r="I913" s="18">
        <f>SUM(I908:I912)</f>
        <v>392122863.74100006</v>
      </c>
      <c r="J913" s="10">
        <f t="shared" si="167"/>
        <v>0.53600392071158676</v>
      </c>
    </row>
    <row r="914" spans="1:13" ht="15.75">
      <c r="A914" s="1" t="s">
        <v>0</v>
      </c>
      <c r="B914" s="3"/>
      <c r="J914" s="3"/>
    </row>
    <row r="915" spans="1:13" ht="15.75">
      <c r="A915" s="1" t="s">
        <v>101</v>
      </c>
      <c r="B915" s="2"/>
      <c r="C915" s="2" t="s">
        <v>2</v>
      </c>
      <c r="D915" s="2"/>
      <c r="E915" s="2"/>
      <c r="F915" s="2"/>
      <c r="G915" s="2" t="s">
        <v>3</v>
      </c>
      <c r="H915" s="2"/>
      <c r="I915" s="2"/>
      <c r="J915" s="2"/>
    </row>
    <row r="916" spans="1:13">
      <c r="B916" s="4" t="s">
        <v>4</v>
      </c>
      <c r="C916" s="4" t="s">
        <v>5</v>
      </c>
      <c r="D916" s="4"/>
      <c r="E916" s="4" t="s">
        <v>6</v>
      </c>
      <c r="F916" s="5"/>
      <c r="G916" s="4" t="s">
        <v>7</v>
      </c>
      <c r="H916" s="5"/>
      <c r="I916" s="5" t="s">
        <v>6</v>
      </c>
      <c r="J916" s="5"/>
    </row>
    <row r="917" spans="1:13">
      <c r="B917" s="4" t="s">
        <v>8</v>
      </c>
      <c r="C917" s="4" t="s">
        <v>8</v>
      </c>
      <c r="D917" s="4" t="s">
        <v>9</v>
      </c>
      <c r="E917" s="4" t="s">
        <v>8</v>
      </c>
      <c r="F917" s="5" t="s">
        <v>9</v>
      </c>
      <c r="G917" s="5" t="s">
        <v>8</v>
      </c>
      <c r="H917" s="5" t="s">
        <v>9</v>
      </c>
      <c r="I917" s="5" t="s">
        <v>8</v>
      </c>
      <c r="J917" s="5" t="s">
        <v>9</v>
      </c>
    </row>
    <row r="918" spans="1:13">
      <c r="B918" s="4"/>
      <c r="C918" s="4"/>
      <c r="D918" s="4"/>
      <c r="E918" s="4"/>
      <c r="F918" s="4"/>
      <c r="G918" s="4"/>
      <c r="H918" s="4"/>
      <c r="I918" s="4"/>
      <c r="J918" s="4"/>
    </row>
    <row r="919" spans="1:13">
      <c r="A919" s="3" t="s">
        <v>10</v>
      </c>
      <c r="B919" s="6">
        <f>C919+G919</f>
        <v>527918</v>
      </c>
      <c r="C919" s="7">
        <v>81662</v>
      </c>
      <c r="D919" s="8">
        <f t="shared" ref="D919:D924" si="168">C919/B919</f>
        <v>0.15468690213252817</v>
      </c>
      <c r="E919" s="11">
        <v>54960927</v>
      </c>
      <c r="F919" s="10">
        <f t="shared" ref="F919:F924" si="169">E919/(E919+I919)</f>
        <v>0.15344334030198917</v>
      </c>
      <c r="G919" s="11">
        <v>446256</v>
      </c>
      <c r="H919" s="10">
        <f t="shared" ref="H919:H924" si="170">G919/B919</f>
        <v>0.84531309786747189</v>
      </c>
      <c r="I919" s="11">
        <v>303222927</v>
      </c>
      <c r="J919" s="10">
        <f t="shared" ref="J919:J924" si="171">I919/(E919+I919)</f>
        <v>0.84655665969801086</v>
      </c>
    </row>
    <row r="920" spans="1:13">
      <c r="A920" s="3" t="s">
        <v>11</v>
      </c>
      <c r="B920" s="6">
        <f>C920+G920</f>
        <v>52139</v>
      </c>
      <c r="C920" s="7">
        <v>14228</v>
      </c>
      <c r="D920" s="8">
        <f t="shared" si="168"/>
        <v>0.272885939507854</v>
      </c>
      <c r="E920" s="11">
        <v>14288906</v>
      </c>
      <c r="F920" s="10">
        <f t="shared" si="169"/>
        <v>0.25187084829669126</v>
      </c>
      <c r="G920" s="11">
        <v>37911</v>
      </c>
      <c r="H920" s="10">
        <f t="shared" si="170"/>
        <v>0.727114060492146</v>
      </c>
      <c r="I920" s="11">
        <v>42442177</v>
      </c>
      <c r="J920" s="10">
        <f t="shared" si="171"/>
        <v>0.74812915170330874</v>
      </c>
    </row>
    <row r="921" spans="1:13">
      <c r="A921" s="3" t="s">
        <v>12</v>
      </c>
      <c r="B921" s="6">
        <f>C921+G921</f>
        <v>10601</v>
      </c>
      <c r="C921" s="7">
        <v>4605</v>
      </c>
      <c r="D921" s="8">
        <f t="shared" si="168"/>
        <v>0.43439298179417035</v>
      </c>
      <c r="E921" s="11">
        <v>116793410</v>
      </c>
      <c r="F921" s="10">
        <f t="shared" si="169"/>
        <v>0.65018721688643055</v>
      </c>
      <c r="G921" s="11">
        <v>5996</v>
      </c>
      <c r="H921" s="10">
        <f t="shared" si="170"/>
        <v>0.56560701820582959</v>
      </c>
      <c r="I921" s="11">
        <v>62837021</v>
      </c>
      <c r="J921" s="10">
        <f t="shared" si="171"/>
        <v>0.34981278311356945</v>
      </c>
    </row>
    <row r="922" spans="1:13">
      <c r="A922" s="3" t="s">
        <v>13</v>
      </c>
      <c r="B922" s="6">
        <f>C922+G922</f>
        <v>332</v>
      </c>
      <c r="C922" s="7">
        <v>285</v>
      </c>
      <c r="D922" s="8">
        <f t="shared" si="168"/>
        <v>0.85843373493975905</v>
      </c>
      <c r="E922" s="11">
        <v>133692477</v>
      </c>
      <c r="F922" s="10">
        <f t="shared" si="169"/>
        <v>0.95797011062519</v>
      </c>
      <c r="G922" s="11">
        <v>47</v>
      </c>
      <c r="H922" s="10">
        <f t="shared" si="170"/>
        <v>0.14156626506024098</v>
      </c>
      <c r="I922" s="11">
        <v>5865611</v>
      </c>
      <c r="J922" s="10">
        <f t="shared" si="171"/>
        <v>4.202988937481001E-2</v>
      </c>
      <c r="M922" s="19"/>
    </row>
    <row r="923" spans="1:13">
      <c r="A923" s="3" t="s">
        <v>65</v>
      </c>
      <c r="B923" s="6">
        <f>C923+G923</f>
        <v>5623</v>
      </c>
      <c r="C923" s="7">
        <v>1488</v>
      </c>
      <c r="D923" s="8">
        <f t="shared" si="168"/>
        <v>0.26462742308376314</v>
      </c>
      <c r="E923" s="11">
        <v>2265864</v>
      </c>
      <c r="F923" s="10">
        <f t="shared" si="169"/>
        <v>0.66773404436837436</v>
      </c>
      <c r="G923" s="11">
        <v>4135</v>
      </c>
      <c r="H923" s="10">
        <f t="shared" si="170"/>
        <v>0.73537257691623692</v>
      </c>
      <c r="I923" s="11">
        <v>1127499</v>
      </c>
      <c r="J923" s="10">
        <f t="shared" si="171"/>
        <v>0.33226595563162564</v>
      </c>
    </row>
    <row r="924" spans="1:13" ht="15.75">
      <c r="B924" s="15">
        <f>SUM(B919:B923)</f>
        <v>596613</v>
      </c>
      <c r="C924" s="16">
        <f>SUM(C919:C923)</f>
        <v>102268</v>
      </c>
      <c r="D924" s="17">
        <f t="shared" si="168"/>
        <v>0.17141430039238167</v>
      </c>
      <c r="E924" s="18">
        <f>SUM(E919:E923)</f>
        <v>322001584</v>
      </c>
      <c r="F924" s="10">
        <f t="shared" si="169"/>
        <v>0.4366142005013855</v>
      </c>
      <c r="G924" s="18">
        <f>SUM(G919:G923)</f>
        <v>494345</v>
      </c>
      <c r="H924" s="17">
        <f t="shared" si="170"/>
        <v>0.8285856996076183</v>
      </c>
      <c r="I924" s="18">
        <f>SUM(I919:I923)</f>
        <v>415495235</v>
      </c>
      <c r="J924" s="10">
        <f t="shared" si="171"/>
        <v>0.56338579949861456</v>
      </c>
    </row>
    <row r="925" spans="1:13" ht="15.75">
      <c r="A925" s="1" t="s">
        <v>0</v>
      </c>
      <c r="B925" s="3"/>
      <c r="J925" s="3"/>
    </row>
    <row r="926" spans="1:13" ht="15.75">
      <c r="A926" s="1" t="s">
        <v>102</v>
      </c>
      <c r="B926" s="2"/>
      <c r="C926" s="2" t="s">
        <v>2</v>
      </c>
      <c r="D926" s="2"/>
      <c r="E926" s="2"/>
      <c r="F926" s="2"/>
      <c r="G926" s="2" t="s">
        <v>3</v>
      </c>
      <c r="H926" s="2"/>
      <c r="I926" s="2"/>
      <c r="J926" s="2"/>
    </row>
    <row r="927" spans="1:13">
      <c r="B927" s="4" t="s">
        <v>4</v>
      </c>
      <c r="C927" s="4" t="s">
        <v>5</v>
      </c>
      <c r="D927" s="4"/>
      <c r="E927" s="4" t="s">
        <v>6</v>
      </c>
      <c r="F927" s="5"/>
      <c r="G927" s="4" t="s">
        <v>7</v>
      </c>
      <c r="H927" s="5"/>
      <c r="I927" s="5" t="s">
        <v>6</v>
      </c>
      <c r="J927" s="5"/>
    </row>
    <row r="928" spans="1:13">
      <c r="B928" s="4" t="s">
        <v>8</v>
      </c>
      <c r="C928" s="4" t="s">
        <v>8</v>
      </c>
      <c r="D928" s="4" t="s">
        <v>9</v>
      </c>
      <c r="E928" s="4" t="s">
        <v>8</v>
      </c>
      <c r="F928" s="5" t="s">
        <v>9</v>
      </c>
      <c r="G928" s="5" t="s">
        <v>8</v>
      </c>
      <c r="H928" s="5" t="s">
        <v>9</v>
      </c>
      <c r="I928" s="5" t="s">
        <v>8</v>
      </c>
      <c r="J928" s="5" t="s">
        <v>9</v>
      </c>
    </row>
    <row r="929" spans="1:13">
      <c r="B929" s="4"/>
      <c r="C929" s="4"/>
      <c r="D929" s="4"/>
      <c r="E929" s="4"/>
      <c r="F929" s="4"/>
      <c r="G929" s="4"/>
      <c r="H929" s="4"/>
      <c r="I929" s="4"/>
      <c r="J929" s="4"/>
      <c r="M929" s="19"/>
    </row>
    <row r="930" spans="1:13">
      <c r="A930" s="3" t="s">
        <v>10</v>
      </c>
      <c r="B930" s="6">
        <f>C930+G930</f>
        <v>554764</v>
      </c>
      <c r="C930" s="7">
        <v>87026</v>
      </c>
      <c r="D930" s="8">
        <f t="shared" ref="D930:D935" si="172">C930/B930</f>
        <v>0.15687030881600103</v>
      </c>
      <c r="E930" s="11">
        <v>65547424</v>
      </c>
      <c r="F930" s="10">
        <f t="shared" ref="F930:F935" si="173">E930/(E930+I930)</f>
        <v>0.15690900016226775</v>
      </c>
      <c r="G930" s="11">
        <v>467738</v>
      </c>
      <c r="H930" s="10">
        <f t="shared" ref="H930:H935" si="174">G930/B930</f>
        <v>0.84312969118399894</v>
      </c>
      <c r="I930" s="11">
        <v>352194222</v>
      </c>
      <c r="J930" s="10">
        <f t="shared" ref="J930:J935" si="175">I930/(E930+I930)</f>
        <v>0.84309099983773228</v>
      </c>
      <c r="M930" s="19"/>
    </row>
    <row r="931" spans="1:13">
      <c r="A931" s="3" t="s">
        <v>11</v>
      </c>
      <c r="B931" s="6">
        <f>C931+G931</f>
        <v>54784</v>
      </c>
      <c r="C931" s="7">
        <v>15021</v>
      </c>
      <c r="D931" s="8">
        <f t="shared" si="172"/>
        <v>0.2741858936915888</v>
      </c>
      <c r="E931" s="11">
        <v>15052083</v>
      </c>
      <c r="F931" s="10">
        <f t="shared" si="173"/>
        <v>0.25301491103856855</v>
      </c>
      <c r="G931" s="11">
        <v>39763</v>
      </c>
      <c r="H931" s="10">
        <f t="shared" si="174"/>
        <v>0.72581410630841126</v>
      </c>
      <c r="I931" s="11">
        <v>44438810</v>
      </c>
      <c r="J931" s="10">
        <f t="shared" si="175"/>
        <v>0.74698508896143145</v>
      </c>
      <c r="M931" s="19"/>
    </row>
    <row r="932" spans="1:13">
      <c r="A932" s="3" t="s">
        <v>12</v>
      </c>
      <c r="B932" s="6">
        <f>C932+G932</f>
        <v>11091</v>
      </c>
      <c r="C932" s="7">
        <v>4815</v>
      </c>
      <c r="D932" s="8">
        <f t="shared" si="172"/>
        <v>0.43413578577224776</v>
      </c>
      <c r="E932" s="11">
        <v>113248862</v>
      </c>
      <c r="F932" s="10">
        <f t="shared" si="173"/>
        <v>0.63400421767916326</v>
      </c>
      <c r="G932" s="11">
        <v>6276</v>
      </c>
      <c r="H932" s="10">
        <f t="shared" si="174"/>
        <v>0.56586421422775224</v>
      </c>
      <c r="I932" s="11">
        <v>65375915</v>
      </c>
      <c r="J932" s="10">
        <f t="shared" si="175"/>
        <v>0.36599578232083674</v>
      </c>
    </row>
    <row r="933" spans="1:13">
      <c r="A933" s="3" t="s">
        <v>13</v>
      </c>
      <c r="B933" s="6">
        <f>C933+G933</f>
        <v>351</v>
      </c>
      <c r="C933" s="7">
        <v>300</v>
      </c>
      <c r="D933" s="8">
        <f t="shared" si="172"/>
        <v>0.85470085470085466</v>
      </c>
      <c r="E933" s="11">
        <v>271028145</v>
      </c>
      <c r="F933" s="10">
        <f t="shared" si="173"/>
        <v>0.97818644104200281</v>
      </c>
      <c r="G933" s="11">
        <v>51</v>
      </c>
      <c r="H933" s="10">
        <f t="shared" si="174"/>
        <v>0.14529914529914531</v>
      </c>
      <c r="I933" s="11">
        <v>6043928</v>
      </c>
      <c r="J933" s="10">
        <f t="shared" si="175"/>
        <v>2.1813558957997185E-2</v>
      </c>
    </row>
    <row r="934" spans="1:13">
      <c r="A934" s="3" t="s">
        <v>65</v>
      </c>
      <c r="B934" s="6">
        <f>C934+G934</f>
        <v>20015</v>
      </c>
      <c r="C934" s="7">
        <v>15693</v>
      </c>
      <c r="D934" s="8">
        <f t="shared" si="172"/>
        <v>0.78406195353484887</v>
      </c>
      <c r="E934" s="11">
        <v>2474958</v>
      </c>
      <c r="F934" s="10">
        <f t="shared" si="173"/>
        <v>0.68326782593187585</v>
      </c>
      <c r="G934" s="11">
        <v>4322</v>
      </c>
      <c r="H934" s="10">
        <f t="shared" si="174"/>
        <v>0.21593804646515113</v>
      </c>
      <c r="I934" s="11">
        <v>1147279</v>
      </c>
      <c r="J934" s="10">
        <f t="shared" si="175"/>
        <v>0.31673217406812421</v>
      </c>
      <c r="M934" s="19"/>
    </row>
    <row r="935" spans="1:13" ht="15.75">
      <c r="B935" s="15">
        <f>SUM(B930:B934)</f>
        <v>641005</v>
      </c>
      <c r="C935" s="16">
        <f>SUM(C930:C934)</f>
        <v>122855</v>
      </c>
      <c r="D935" s="17">
        <f t="shared" si="172"/>
        <v>0.19165997145108071</v>
      </c>
      <c r="E935" s="18">
        <f>SUM(E930:E934)</f>
        <v>467351472</v>
      </c>
      <c r="F935" s="10">
        <f t="shared" si="173"/>
        <v>0.49901303785681539</v>
      </c>
      <c r="G935" s="18">
        <f>SUM(G930:G934)</f>
        <v>518150</v>
      </c>
      <c r="H935" s="17">
        <f t="shared" si="174"/>
        <v>0.80834002854891929</v>
      </c>
      <c r="I935" s="18">
        <f>SUM(I930:I934)</f>
        <v>469200154</v>
      </c>
      <c r="J935" s="10">
        <f t="shared" si="175"/>
        <v>0.50098696214318461</v>
      </c>
      <c r="L935" s="19"/>
      <c r="M935" s="19"/>
    </row>
    <row r="936" spans="1:13" ht="15.75">
      <c r="A936" s="1" t="s">
        <v>0</v>
      </c>
      <c r="B936" s="3"/>
      <c r="J936" s="3"/>
    </row>
    <row r="937" spans="1:13" ht="15.75">
      <c r="A937" s="1" t="s">
        <v>103</v>
      </c>
      <c r="B937" s="2"/>
      <c r="C937" s="2" t="s">
        <v>2</v>
      </c>
      <c r="D937" s="2"/>
      <c r="E937" s="2"/>
      <c r="F937" s="2"/>
      <c r="G937" s="2" t="s">
        <v>3</v>
      </c>
      <c r="H937" s="2"/>
      <c r="I937" s="2"/>
      <c r="J937" s="2"/>
    </row>
    <row r="938" spans="1:13">
      <c r="B938" s="4" t="s">
        <v>4</v>
      </c>
      <c r="C938" s="4" t="s">
        <v>5</v>
      </c>
      <c r="D938" s="4"/>
      <c r="E938" s="4" t="s">
        <v>6</v>
      </c>
      <c r="F938" s="5"/>
      <c r="G938" s="4" t="s">
        <v>7</v>
      </c>
      <c r="H938" s="5"/>
      <c r="I938" s="5" t="s">
        <v>6</v>
      </c>
      <c r="J938" s="5"/>
    </row>
    <row r="939" spans="1:13">
      <c r="B939" s="4" t="s">
        <v>8</v>
      </c>
      <c r="C939" s="4" t="s">
        <v>8</v>
      </c>
      <c r="D939" s="4" t="s">
        <v>9</v>
      </c>
      <c r="E939" s="4" t="s">
        <v>8</v>
      </c>
      <c r="F939" s="5" t="s">
        <v>9</v>
      </c>
      <c r="G939" s="5" t="s">
        <v>8</v>
      </c>
      <c r="H939" s="5" t="s">
        <v>9</v>
      </c>
      <c r="I939" s="5" t="s">
        <v>8</v>
      </c>
      <c r="J939" s="5" t="s">
        <v>9</v>
      </c>
    </row>
    <row r="940" spans="1:13">
      <c r="B940" s="4"/>
      <c r="C940" s="4"/>
      <c r="D940" s="4"/>
      <c r="E940" s="4"/>
      <c r="F940" s="4"/>
      <c r="G940" s="4"/>
      <c r="H940" s="4"/>
      <c r="I940" s="4"/>
      <c r="J940" s="4"/>
      <c r="M940" s="19"/>
    </row>
    <row r="941" spans="1:13">
      <c r="A941" s="3" t="s">
        <v>10</v>
      </c>
      <c r="B941" s="6">
        <f>C941+G941</f>
        <v>544103</v>
      </c>
      <c r="C941" s="7">
        <v>85834</v>
      </c>
      <c r="D941" s="8">
        <f t="shared" ref="D941:D946" si="176">C941/B941</f>
        <v>0.1577532195190984</v>
      </c>
      <c r="E941" s="11">
        <v>51733804</v>
      </c>
      <c r="F941" s="10">
        <f t="shared" ref="F941:F946" si="177">E941/(E941+I941)</f>
        <v>0.1607154988915003</v>
      </c>
      <c r="G941" s="11">
        <v>458269</v>
      </c>
      <c r="H941" s="10">
        <f t="shared" ref="H941:H946" si="178">G941/B941</f>
        <v>0.84224678048090162</v>
      </c>
      <c r="I941" s="11">
        <v>270162991</v>
      </c>
      <c r="J941" s="10">
        <f t="shared" ref="J941:J946" si="179">I941/(E941+I941)</f>
        <v>0.83928450110849973</v>
      </c>
      <c r="M941" s="19"/>
    </row>
    <row r="942" spans="1:13">
      <c r="A942" s="3" t="s">
        <v>11</v>
      </c>
      <c r="B942" s="6">
        <f>C942+G942</f>
        <v>53785</v>
      </c>
      <c r="C942" s="7">
        <v>14572</v>
      </c>
      <c r="D942" s="8">
        <f t="shared" si="176"/>
        <v>0.27093055684670447</v>
      </c>
      <c r="E942" s="11">
        <v>11641306</v>
      </c>
      <c r="F942" s="10">
        <f t="shared" si="177"/>
        <v>0.23346516552036564</v>
      </c>
      <c r="G942" s="11">
        <v>39213</v>
      </c>
      <c r="H942" s="10">
        <f t="shared" si="178"/>
        <v>0.72906944315329558</v>
      </c>
      <c r="I942" s="11">
        <v>38221833</v>
      </c>
      <c r="J942" s="10">
        <f t="shared" si="179"/>
        <v>0.76653483447963433</v>
      </c>
      <c r="M942" s="19"/>
    </row>
    <row r="943" spans="1:13">
      <c r="A943" s="3" t="s">
        <v>12</v>
      </c>
      <c r="B943" s="6">
        <f>C943+G943</f>
        <v>9782</v>
      </c>
      <c r="C943" s="7">
        <v>3692</v>
      </c>
      <c r="D943" s="8">
        <f t="shared" si="176"/>
        <v>0.37742792884890614</v>
      </c>
      <c r="E943" s="11">
        <v>86328314</v>
      </c>
      <c r="F943" s="10">
        <f t="shared" si="177"/>
        <v>0.58057518363108362</v>
      </c>
      <c r="G943" s="11">
        <v>6090</v>
      </c>
      <c r="H943" s="10">
        <f t="shared" si="178"/>
        <v>0.62257207115109381</v>
      </c>
      <c r="I943" s="11">
        <v>62366147</v>
      </c>
      <c r="J943" s="10">
        <f t="shared" si="179"/>
        <v>0.41942481636891638</v>
      </c>
    </row>
    <row r="944" spans="1:13">
      <c r="A944" s="3" t="s">
        <v>13</v>
      </c>
      <c r="B944" s="6">
        <f>C944+G944</f>
        <v>329</v>
      </c>
      <c r="C944" s="7">
        <v>284</v>
      </c>
      <c r="D944" s="8">
        <f t="shared" si="176"/>
        <v>0.86322188449848025</v>
      </c>
      <c r="E944" s="11">
        <v>218702313</v>
      </c>
      <c r="F944" s="10">
        <f t="shared" si="177"/>
        <v>0.98566682972887909</v>
      </c>
      <c r="G944" s="11">
        <v>45</v>
      </c>
      <c r="H944" s="10">
        <f t="shared" si="178"/>
        <v>0.13677811550151975</v>
      </c>
      <c r="I944" s="11">
        <v>3180281</v>
      </c>
      <c r="J944" s="10">
        <f t="shared" si="179"/>
        <v>1.4333170271120951E-2</v>
      </c>
    </row>
    <row r="945" spans="1:13">
      <c r="A945" s="3" t="s">
        <v>65</v>
      </c>
      <c r="B945" s="6">
        <f>C945+G945</f>
        <v>5725</v>
      </c>
      <c r="C945" s="7">
        <v>1464</v>
      </c>
      <c r="D945" s="8">
        <f t="shared" si="176"/>
        <v>0.25572052401746725</v>
      </c>
      <c r="E945" s="11">
        <v>2443853</v>
      </c>
      <c r="F945" s="10">
        <f t="shared" si="177"/>
        <v>0.6796284956113493</v>
      </c>
      <c r="G945" s="11">
        <v>4261</v>
      </c>
      <c r="H945" s="10">
        <f t="shared" si="178"/>
        <v>0.74427947598253275</v>
      </c>
      <c r="I945" s="11">
        <v>1152013</v>
      </c>
      <c r="J945" s="10">
        <f t="shared" si="179"/>
        <v>0.32037150438865075</v>
      </c>
      <c r="M945" s="19"/>
    </row>
    <row r="946" spans="1:13" ht="15.75">
      <c r="B946" s="15">
        <f>SUM(B941:B945)</f>
        <v>613724</v>
      </c>
      <c r="C946" s="16">
        <f>SUM(C941:C945)</f>
        <v>105846</v>
      </c>
      <c r="D946" s="17">
        <f t="shared" si="176"/>
        <v>0.17246514719971845</v>
      </c>
      <c r="E946" s="18">
        <f>SUM(E941:E945)</f>
        <v>370849590</v>
      </c>
      <c r="F946" s="10">
        <f t="shared" si="177"/>
        <v>0.49716216079529035</v>
      </c>
      <c r="G946" s="18">
        <f>SUM(G941:G945)</f>
        <v>507878</v>
      </c>
      <c r="H946" s="17">
        <f t="shared" si="178"/>
        <v>0.82753485280028161</v>
      </c>
      <c r="I946" s="18">
        <f>SUM(I941:I945)</f>
        <v>375083265</v>
      </c>
      <c r="J946" s="10">
        <f t="shared" si="179"/>
        <v>0.5028378392047097</v>
      </c>
      <c r="L946" s="19"/>
      <c r="M946" s="19"/>
    </row>
    <row r="947" spans="1:13" ht="15.75">
      <c r="A947" s="1" t="s">
        <v>0</v>
      </c>
      <c r="B947" s="3"/>
      <c r="J947" s="3"/>
    </row>
    <row r="948" spans="1:13" ht="15.75">
      <c r="A948" s="1" t="s">
        <v>104</v>
      </c>
      <c r="B948" s="2"/>
      <c r="C948" s="2" t="s">
        <v>2</v>
      </c>
      <c r="D948" s="2"/>
      <c r="E948" s="2"/>
      <c r="F948" s="2"/>
      <c r="G948" s="2" t="s">
        <v>3</v>
      </c>
      <c r="H948" s="2"/>
      <c r="I948" s="2"/>
      <c r="J948" s="2"/>
    </row>
    <row r="949" spans="1:13">
      <c r="B949" s="4" t="s">
        <v>4</v>
      </c>
      <c r="C949" s="4" t="s">
        <v>5</v>
      </c>
      <c r="D949" s="4"/>
      <c r="E949" s="4" t="s">
        <v>6</v>
      </c>
      <c r="F949" s="5"/>
      <c r="G949" s="4" t="s">
        <v>7</v>
      </c>
      <c r="H949" s="5"/>
      <c r="I949" s="5" t="s">
        <v>6</v>
      </c>
      <c r="J949" s="5"/>
    </row>
    <row r="950" spans="1:13">
      <c r="B950" s="4" t="s">
        <v>8</v>
      </c>
      <c r="C950" s="4" t="s">
        <v>8</v>
      </c>
      <c r="D950" s="4" t="s">
        <v>9</v>
      </c>
      <c r="E950" s="4" t="s">
        <v>8</v>
      </c>
      <c r="F950" s="5" t="s">
        <v>9</v>
      </c>
      <c r="G950" s="5" t="s">
        <v>8</v>
      </c>
      <c r="H950" s="5" t="s">
        <v>9</v>
      </c>
      <c r="I950" s="5" t="s">
        <v>8</v>
      </c>
      <c r="J950" s="5" t="s">
        <v>9</v>
      </c>
    </row>
    <row r="951" spans="1:13">
      <c r="B951" s="4"/>
      <c r="C951" s="4"/>
      <c r="D951" s="4"/>
      <c r="E951" s="4"/>
      <c r="F951" s="4"/>
      <c r="G951" s="4"/>
      <c r="H951" s="4"/>
      <c r="I951" s="4"/>
      <c r="J951" s="4"/>
      <c r="M951" s="19"/>
    </row>
    <row r="952" spans="1:13">
      <c r="A952" s="3" t="s">
        <v>10</v>
      </c>
      <c r="B952" s="6">
        <f>C952+G952</f>
        <v>551924</v>
      </c>
      <c r="C952" s="7">
        <v>89230</v>
      </c>
      <c r="D952" s="8">
        <f t="shared" ref="D952:D957" si="180">C952/B952</f>
        <v>0.16167080974916836</v>
      </c>
      <c r="E952" s="11">
        <v>52139214</v>
      </c>
      <c r="F952" s="10">
        <f t="shared" ref="F952:F957" si="181">E952/(E952+I952)</f>
        <v>0.16955715017704159</v>
      </c>
      <c r="G952" s="11">
        <v>462694</v>
      </c>
      <c r="H952" s="10">
        <f t="shared" ref="H952:H957" si="182">G952/B952</f>
        <v>0.83832919025083164</v>
      </c>
      <c r="I952" s="11">
        <v>255363088</v>
      </c>
      <c r="J952" s="10">
        <f t="shared" ref="J952:J957" si="183">I952/(E952+I952)</f>
        <v>0.83044284982295835</v>
      </c>
      <c r="M952" s="19"/>
    </row>
    <row r="953" spans="1:13">
      <c r="A953" s="3" t="s">
        <v>11</v>
      </c>
      <c r="B953" s="6">
        <f>C953+G953</f>
        <v>53643</v>
      </c>
      <c r="C953" s="7">
        <v>15088</v>
      </c>
      <c r="D953" s="8">
        <f t="shared" si="180"/>
        <v>0.28126689409615419</v>
      </c>
      <c r="E953" s="11">
        <v>13465615</v>
      </c>
      <c r="F953" s="10">
        <f t="shared" si="181"/>
        <v>0.26933573220870216</v>
      </c>
      <c r="G953" s="11">
        <v>38555</v>
      </c>
      <c r="H953" s="10">
        <f t="shared" si="182"/>
        <v>0.71873310590384576</v>
      </c>
      <c r="I953" s="11">
        <v>36530035</v>
      </c>
      <c r="J953" s="10">
        <f t="shared" si="183"/>
        <v>0.73066426779129789</v>
      </c>
    </row>
    <row r="954" spans="1:13">
      <c r="A954" s="3" t="s">
        <v>12</v>
      </c>
      <c r="B954" s="6">
        <f>C954+G954</f>
        <v>10348</v>
      </c>
      <c r="C954" s="7">
        <v>4690</v>
      </c>
      <c r="D954" s="8">
        <f t="shared" si="180"/>
        <v>0.45322767684576731</v>
      </c>
      <c r="E954" s="11">
        <v>102420650</v>
      </c>
      <c r="F954" s="10">
        <f t="shared" si="181"/>
        <v>0.62923806070134181</v>
      </c>
      <c r="G954" s="11">
        <v>5658</v>
      </c>
      <c r="H954" s="10">
        <f t="shared" si="182"/>
        <v>0.54677232315423274</v>
      </c>
      <c r="I954" s="11">
        <v>60348668</v>
      </c>
      <c r="J954" s="10">
        <f t="shared" si="183"/>
        <v>0.37076193929865825</v>
      </c>
    </row>
    <row r="955" spans="1:13">
      <c r="A955" s="3" t="s">
        <v>13</v>
      </c>
      <c r="B955" s="6">
        <f>C955+G955</f>
        <v>287</v>
      </c>
      <c r="C955" s="7">
        <v>256</v>
      </c>
      <c r="D955" s="8">
        <f t="shared" si="180"/>
        <v>0.89198606271777003</v>
      </c>
      <c r="E955" s="11">
        <v>115664582</v>
      </c>
      <c r="F955" s="10">
        <f t="shared" si="181"/>
        <v>0.96892832939456863</v>
      </c>
      <c r="G955" s="11">
        <v>31</v>
      </c>
      <c r="H955" s="10">
        <f t="shared" si="182"/>
        <v>0.10801393728222997</v>
      </c>
      <c r="I955" s="11">
        <v>3709141</v>
      </c>
      <c r="J955" s="10">
        <f t="shared" si="183"/>
        <v>3.1071670605431315E-2</v>
      </c>
    </row>
    <row r="956" spans="1:13">
      <c r="A956" s="3" t="s">
        <v>65</v>
      </c>
      <c r="B956" s="6">
        <f>C956+G956</f>
        <v>5816</v>
      </c>
      <c r="C956" s="7">
        <v>1566</v>
      </c>
      <c r="D956" s="8">
        <f t="shared" si="180"/>
        <v>0.26925722145804676</v>
      </c>
      <c r="E956" s="11">
        <v>3047682</v>
      </c>
      <c r="F956" s="10">
        <f t="shared" si="181"/>
        <v>0.67682588836004498</v>
      </c>
      <c r="G956" s="11">
        <v>4250</v>
      </c>
      <c r="H956" s="10">
        <f t="shared" si="182"/>
        <v>0.73074277854195324</v>
      </c>
      <c r="I956" s="11">
        <v>1455222</v>
      </c>
      <c r="J956" s="10">
        <f t="shared" si="183"/>
        <v>0.32317411163995502</v>
      </c>
      <c r="M956" s="19"/>
    </row>
    <row r="957" spans="1:13" ht="15.75">
      <c r="B957" s="15">
        <f>SUM(B952:B956)</f>
        <v>622018</v>
      </c>
      <c r="C957" s="16">
        <f>SUM(C952:C956)</f>
        <v>110830</v>
      </c>
      <c r="D957" s="17">
        <f t="shared" si="180"/>
        <v>0.17817812346266507</v>
      </c>
      <c r="E957" s="18">
        <f>SUM(E952:E956)</f>
        <v>286737743</v>
      </c>
      <c r="F957" s="10">
        <f t="shared" si="181"/>
        <v>0.44514547810735527</v>
      </c>
      <c r="G957" s="18">
        <f>SUM(G952:G956)</f>
        <v>511188</v>
      </c>
      <c r="H957" s="17">
        <f t="shared" si="182"/>
        <v>0.82182187653733496</v>
      </c>
      <c r="I957" s="18">
        <f>SUM(I952:I956)</f>
        <v>357406154</v>
      </c>
      <c r="J957" s="10">
        <f t="shared" si="183"/>
        <v>0.55485452189264473</v>
      </c>
      <c r="L957" s="19"/>
      <c r="M957" s="19"/>
    </row>
    <row r="958" spans="1:13" ht="15.75">
      <c r="A958" s="1" t="s">
        <v>0</v>
      </c>
      <c r="B958" s="3"/>
      <c r="J958" s="3"/>
    </row>
    <row r="959" spans="1:13" ht="15.75">
      <c r="A959" s="1" t="s">
        <v>105</v>
      </c>
      <c r="B959" s="2"/>
      <c r="C959" s="2" t="s">
        <v>2</v>
      </c>
      <c r="D959" s="2"/>
      <c r="E959" s="2"/>
      <c r="F959" s="2"/>
      <c r="G959" s="2" t="s">
        <v>3</v>
      </c>
      <c r="H959" s="2"/>
      <c r="I959" s="2"/>
      <c r="J959" s="2"/>
    </row>
    <row r="960" spans="1:13">
      <c r="B960" s="4" t="s">
        <v>4</v>
      </c>
      <c r="C960" s="4" t="s">
        <v>5</v>
      </c>
      <c r="D960" s="4"/>
      <c r="E960" s="4" t="s">
        <v>6</v>
      </c>
      <c r="F960" s="5"/>
      <c r="G960" s="4" t="s">
        <v>7</v>
      </c>
      <c r="H960" s="5"/>
      <c r="I960" s="5" t="s">
        <v>6</v>
      </c>
      <c r="J960" s="5"/>
    </row>
    <row r="961" spans="1:13">
      <c r="B961" s="4" t="s">
        <v>8</v>
      </c>
      <c r="C961" s="4" t="s">
        <v>8</v>
      </c>
      <c r="D961" s="4" t="s">
        <v>9</v>
      </c>
      <c r="E961" s="4" t="s">
        <v>8</v>
      </c>
      <c r="F961" s="5" t="s">
        <v>9</v>
      </c>
      <c r="G961" s="5" t="s">
        <v>8</v>
      </c>
      <c r="H961" s="5" t="s">
        <v>9</v>
      </c>
      <c r="I961" s="5" t="s">
        <v>8</v>
      </c>
      <c r="J961" s="5" t="s">
        <v>9</v>
      </c>
    </row>
    <row r="962" spans="1:13">
      <c r="B962" s="4"/>
      <c r="C962" s="4"/>
      <c r="D962" s="4"/>
      <c r="E962" s="4"/>
      <c r="F962" s="4"/>
      <c r="G962" s="4"/>
      <c r="H962" s="4"/>
      <c r="I962" s="4"/>
      <c r="J962" s="4"/>
      <c r="M962" s="19"/>
    </row>
    <row r="963" spans="1:13">
      <c r="A963" s="3" t="s">
        <v>10</v>
      </c>
      <c r="B963" s="6">
        <v>558538</v>
      </c>
      <c r="C963" s="7">
        <v>90893</v>
      </c>
      <c r="D963" s="8">
        <f t="shared" ref="D963:D968" si="184">C963/B963</f>
        <v>0.16273377997557911</v>
      </c>
      <c r="E963" s="11">
        <v>44187325</v>
      </c>
      <c r="F963" s="10">
        <f t="shared" ref="F963:F968" si="185">E963/(E963+I963)</f>
        <v>0.17448643773494679</v>
      </c>
      <c r="G963" s="11">
        <v>467645</v>
      </c>
      <c r="H963" s="10">
        <f t="shared" ref="H963:H968" si="186">G963/B963</f>
        <v>0.83726622002442086</v>
      </c>
      <c r="I963" s="11">
        <v>209054850</v>
      </c>
      <c r="J963" s="10">
        <f t="shared" ref="J963:J968" si="187">I963/(E963+I963)</f>
        <v>0.82551356226505324</v>
      </c>
      <c r="M963" s="19"/>
    </row>
    <row r="964" spans="1:13">
      <c r="A964" s="3" t="s">
        <v>11</v>
      </c>
      <c r="B964" s="20">
        <v>54990</v>
      </c>
      <c r="C964" s="7">
        <v>15324</v>
      </c>
      <c r="D964" s="8">
        <f t="shared" si="184"/>
        <v>0.27866884888161486</v>
      </c>
      <c r="E964" s="11">
        <v>11560953</v>
      </c>
      <c r="F964" s="10">
        <f t="shared" si="185"/>
        <v>0.26301006494766599</v>
      </c>
      <c r="G964" s="11">
        <v>39666</v>
      </c>
      <c r="H964" s="10">
        <f t="shared" si="186"/>
        <v>0.72133115111838519</v>
      </c>
      <c r="I964" s="11">
        <v>32395361</v>
      </c>
      <c r="J964" s="10">
        <f t="shared" si="187"/>
        <v>0.73698993505233401</v>
      </c>
    </row>
    <row r="965" spans="1:13">
      <c r="A965" s="3" t="s">
        <v>12</v>
      </c>
      <c r="B965" s="20">
        <v>11579</v>
      </c>
      <c r="C965" s="7">
        <v>5345</v>
      </c>
      <c r="D965" s="8">
        <f t="shared" si="184"/>
        <v>0.46161153812937211</v>
      </c>
      <c r="E965" s="11">
        <v>102737475</v>
      </c>
      <c r="F965" s="10">
        <f t="shared" si="185"/>
        <v>0.63159828638759496</v>
      </c>
      <c r="G965" s="11">
        <v>6234</v>
      </c>
      <c r="H965" s="10">
        <f t="shared" si="186"/>
        <v>0.53838846187062783</v>
      </c>
      <c r="I965" s="11">
        <v>59925213</v>
      </c>
      <c r="J965" s="10">
        <f t="shared" si="187"/>
        <v>0.36840171361240509</v>
      </c>
    </row>
    <row r="966" spans="1:13">
      <c r="A966" s="3" t="s">
        <v>13</v>
      </c>
      <c r="B966" s="20">
        <v>415</v>
      </c>
      <c r="C966" s="7">
        <v>365</v>
      </c>
      <c r="D966" s="8">
        <f t="shared" si="184"/>
        <v>0.87951807228915657</v>
      </c>
      <c r="E966" s="11">
        <v>278703136</v>
      </c>
      <c r="F966" s="10">
        <f t="shared" si="185"/>
        <v>0.98537864105906525</v>
      </c>
      <c r="G966" s="11">
        <v>50</v>
      </c>
      <c r="H966" s="10">
        <f t="shared" si="186"/>
        <v>0.12048192771084337</v>
      </c>
      <c r="I966" s="11">
        <v>4135485</v>
      </c>
      <c r="J966" s="10">
        <f t="shared" si="187"/>
        <v>1.4621358940934732E-2</v>
      </c>
    </row>
    <row r="967" spans="1:13">
      <c r="A967" s="3" t="s">
        <v>65</v>
      </c>
      <c r="B967" s="20">
        <v>5471</v>
      </c>
      <c r="C967" s="7">
        <v>557</v>
      </c>
      <c r="D967" s="8">
        <f t="shared" si="184"/>
        <v>0.10180954121732773</v>
      </c>
      <c r="E967" s="11">
        <v>59311</v>
      </c>
      <c r="F967" s="10">
        <f t="shared" si="185"/>
        <v>8.120545139392811E-2</v>
      </c>
      <c r="G967" s="11">
        <v>4914</v>
      </c>
      <c r="H967" s="10">
        <f t="shared" si="186"/>
        <v>0.89819045878267223</v>
      </c>
      <c r="I967" s="11">
        <v>671071</v>
      </c>
      <c r="J967" s="10">
        <f t="shared" si="187"/>
        <v>0.9187945486060719</v>
      </c>
      <c r="M967" s="19"/>
    </row>
    <row r="968" spans="1:13" ht="15.75">
      <c r="B968" s="15">
        <f>SUM(B963:B967)</f>
        <v>630993</v>
      </c>
      <c r="C968" s="16">
        <f>SUM(C963:C967)</f>
        <v>112484</v>
      </c>
      <c r="D968" s="17">
        <f t="shared" si="184"/>
        <v>0.17826505206872342</v>
      </c>
      <c r="E968" s="18">
        <f>SUM(E963:E967)</f>
        <v>437248200</v>
      </c>
      <c r="F968" s="10">
        <f t="shared" si="185"/>
        <v>0.58814964977612294</v>
      </c>
      <c r="G968" s="18">
        <f>SUM(G963:G967)</f>
        <v>518509</v>
      </c>
      <c r="H968" s="17">
        <f t="shared" si="186"/>
        <v>0.82173494793127655</v>
      </c>
      <c r="I968" s="18">
        <f>SUM(I963:I967)</f>
        <v>306181980</v>
      </c>
      <c r="J968" s="10">
        <f t="shared" si="187"/>
        <v>0.41185035022387712</v>
      </c>
      <c r="L968" s="19"/>
      <c r="M968" s="19"/>
    </row>
    <row r="969" spans="1:13" ht="15.75">
      <c r="A969" s="1" t="s">
        <v>0</v>
      </c>
      <c r="B969" s="3"/>
      <c r="J969" s="3"/>
    </row>
    <row r="970" spans="1:13" ht="15.75">
      <c r="A970" s="1" t="s">
        <v>106</v>
      </c>
      <c r="B970" s="2"/>
      <c r="C970" s="2" t="s">
        <v>2</v>
      </c>
      <c r="D970" s="2"/>
      <c r="E970" s="2"/>
      <c r="F970" s="2"/>
      <c r="G970" s="2" t="s">
        <v>3</v>
      </c>
      <c r="H970" s="2"/>
      <c r="I970" s="2"/>
      <c r="J970" s="2"/>
    </row>
    <row r="971" spans="1:13" ht="15.75">
      <c r="A971" s="1" t="s">
        <v>107</v>
      </c>
      <c r="B971" s="2"/>
      <c r="C971" s="2" t="s">
        <v>2</v>
      </c>
      <c r="D971" s="2"/>
      <c r="E971" s="2"/>
      <c r="F971" s="2"/>
      <c r="G971" s="2" t="s">
        <v>3</v>
      </c>
      <c r="H971" s="2"/>
      <c r="I971" s="2"/>
      <c r="J971" s="2"/>
    </row>
    <row r="972" spans="1:13">
      <c r="B972" s="4" t="s">
        <v>4</v>
      </c>
      <c r="C972" s="4" t="s">
        <v>5</v>
      </c>
      <c r="D972" s="4"/>
      <c r="E972" s="4" t="s">
        <v>6</v>
      </c>
      <c r="F972" s="5"/>
      <c r="G972" s="4" t="s">
        <v>7</v>
      </c>
      <c r="H972" s="5"/>
      <c r="I972" s="5" t="s">
        <v>6</v>
      </c>
      <c r="J972" s="5"/>
    </row>
    <row r="973" spans="1:13">
      <c r="B973" s="4" t="s">
        <v>8</v>
      </c>
      <c r="C973" s="4" t="s">
        <v>8</v>
      </c>
      <c r="D973" s="4" t="s">
        <v>9</v>
      </c>
      <c r="E973" s="4" t="s">
        <v>8</v>
      </c>
      <c r="F973" s="5" t="s">
        <v>9</v>
      </c>
      <c r="G973" s="5" t="s">
        <v>8</v>
      </c>
      <c r="H973" s="5" t="s">
        <v>9</v>
      </c>
      <c r="I973" s="5" t="s">
        <v>8</v>
      </c>
      <c r="J973" s="5" t="s">
        <v>9</v>
      </c>
      <c r="M973" s="19"/>
    </row>
    <row r="974" spans="1:13">
      <c r="B974" s="4"/>
      <c r="C974" s="4"/>
      <c r="D974" s="4"/>
      <c r="E974" s="4"/>
      <c r="F974" s="4"/>
      <c r="G974" s="4"/>
      <c r="H974" s="4"/>
      <c r="I974" s="4"/>
      <c r="J974" s="4"/>
      <c r="M974" s="19"/>
    </row>
    <row r="975" spans="1:13">
      <c r="A975" s="3" t="s">
        <v>10</v>
      </c>
      <c r="B975" s="6">
        <v>558306</v>
      </c>
      <c r="C975" s="7">
        <v>92162</v>
      </c>
      <c r="D975" s="8">
        <f t="shared" ref="D975:D980" si="188">C975/B975</f>
        <v>0.16507434990847314</v>
      </c>
      <c r="E975" s="11">
        <v>53123179</v>
      </c>
      <c r="F975" s="10">
        <f t="shared" ref="F975:F980" si="189">E975/(E975+I975)</f>
        <v>0.17648826141070273</v>
      </c>
      <c r="G975" s="11">
        <v>466144</v>
      </c>
      <c r="H975" s="10">
        <f t="shared" ref="H975:H980" si="190">G975/B975</f>
        <v>0.83492565009152686</v>
      </c>
      <c r="I975" s="11">
        <v>247878024</v>
      </c>
      <c r="J975" s="10">
        <f t="shared" ref="J975:J980" si="191">I975/(E975+I975)</f>
        <v>0.82351173858929727</v>
      </c>
    </row>
    <row r="976" spans="1:13">
      <c r="A976" s="3" t="s">
        <v>11</v>
      </c>
      <c r="B976" s="20">
        <v>54932</v>
      </c>
      <c r="C976" s="7">
        <v>15391</v>
      </c>
      <c r="D976" s="8">
        <f t="shared" si="188"/>
        <v>0.28018277142649095</v>
      </c>
      <c r="E976" s="11">
        <v>13649424</v>
      </c>
      <c r="F976" s="10">
        <f t="shared" si="189"/>
        <v>0.25936539066494119</v>
      </c>
      <c r="G976" s="11">
        <v>39541</v>
      </c>
      <c r="H976" s="10">
        <f t="shared" si="190"/>
        <v>0.71981722857350905</v>
      </c>
      <c r="I976" s="11">
        <v>38976811</v>
      </c>
      <c r="J976" s="10">
        <f t="shared" si="191"/>
        <v>0.74063460933505887</v>
      </c>
    </row>
    <row r="977" spans="1:13">
      <c r="A977" s="3" t="s">
        <v>12</v>
      </c>
      <c r="B977" s="20">
        <v>11500</v>
      </c>
      <c r="C977" s="7">
        <v>5322</v>
      </c>
      <c r="D977" s="8">
        <f t="shared" si="188"/>
        <v>0.46278260869565219</v>
      </c>
      <c r="E977" s="11">
        <v>116180526</v>
      </c>
      <c r="F977" s="10">
        <f t="shared" si="189"/>
        <v>0.62177885372231678</v>
      </c>
      <c r="G977" s="11">
        <v>6178</v>
      </c>
      <c r="H977" s="10">
        <f t="shared" si="190"/>
        <v>0.53721739130434787</v>
      </c>
      <c r="I977" s="11">
        <v>70671319</v>
      </c>
      <c r="J977" s="10">
        <f t="shared" si="191"/>
        <v>0.37822114627768327</v>
      </c>
    </row>
    <row r="978" spans="1:13">
      <c r="A978" s="3" t="s">
        <v>13</v>
      </c>
      <c r="B978" s="20">
        <v>405</v>
      </c>
      <c r="C978" s="7">
        <v>358</v>
      </c>
      <c r="D978" s="8">
        <f t="shared" si="188"/>
        <v>0.88395061728395063</v>
      </c>
      <c r="E978" s="11">
        <v>244724898</v>
      </c>
      <c r="F978" s="10">
        <f t="shared" si="189"/>
        <v>0.98241607567927225</v>
      </c>
      <c r="G978" s="11">
        <v>47</v>
      </c>
      <c r="H978" s="10">
        <f t="shared" si="190"/>
        <v>0.11604938271604938</v>
      </c>
      <c r="I978" s="11">
        <v>4380246</v>
      </c>
      <c r="J978" s="10">
        <f t="shared" si="191"/>
        <v>1.7583924320727796E-2</v>
      </c>
    </row>
    <row r="979" spans="1:13">
      <c r="A979" s="3" t="s">
        <v>65</v>
      </c>
      <c r="B979" s="20">
        <v>5404</v>
      </c>
      <c r="C979" s="7">
        <v>561</v>
      </c>
      <c r="D979" s="8">
        <f t="shared" si="188"/>
        <v>0.1038119911176906</v>
      </c>
      <c r="E979" s="11">
        <v>64345</v>
      </c>
      <c r="F979" s="10">
        <f t="shared" si="189"/>
        <v>8.1477213731275241E-2</v>
      </c>
      <c r="G979" s="11">
        <v>4843</v>
      </c>
      <c r="H979" s="10">
        <f t="shared" si="190"/>
        <v>0.89618800888230943</v>
      </c>
      <c r="I979" s="11">
        <v>725385</v>
      </c>
      <c r="J979" s="10">
        <f t="shared" si="191"/>
        <v>0.91852278626872474</v>
      </c>
      <c r="L979" s="19"/>
      <c r="M979" s="19"/>
    </row>
    <row r="980" spans="1:13" ht="15.75">
      <c r="B980" s="15">
        <f>SUM(B975:B979)</f>
        <v>630547</v>
      </c>
      <c r="C980" s="16">
        <f>SUM(C975:C979)</f>
        <v>113794</v>
      </c>
      <c r="D980" s="17">
        <f t="shared" si="188"/>
        <v>0.18046870415686697</v>
      </c>
      <c r="E980" s="18">
        <f>SUM(E975:E979)</f>
        <v>427742372</v>
      </c>
      <c r="F980" s="10">
        <f t="shared" si="189"/>
        <v>0.54118972414731925</v>
      </c>
      <c r="G980" s="18">
        <f>SUM(G975:G979)</f>
        <v>516753</v>
      </c>
      <c r="H980" s="17">
        <f t="shared" si="190"/>
        <v>0.819531295843133</v>
      </c>
      <c r="I980" s="18">
        <f>SUM(I975:I979)</f>
        <v>362631785</v>
      </c>
      <c r="J980" s="10">
        <f t="shared" si="191"/>
        <v>0.45881027585268075</v>
      </c>
    </row>
    <row r="981" spans="1:13" ht="15.75">
      <c r="A981" s="1" t="s">
        <v>0</v>
      </c>
      <c r="B981" s="3"/>
      <c r="J981" s="3"/>
    </row>
    <row r="982" spans="1:13" ht="15.75">
      <c r="A982" s="1" t="s">
        <v>106</v>
      </c>
      <c r="B982" s="2"/>
      <c r="C982" s="2" t="s">
        <v>2</v>
      </c>
      <c r="D982" s="2"/>
      <c r="E982" s="2"/>
      <c r="F982" s="2"/>
      <c r="G982" s="2" t="s">
        <v>3</v>
      </c>
      <c r="H982" s="2"/>
      <c r="I982" s="2"/>
      <c r="J982" s="2"/>
    </row>
    <row r="983" spans="1:13">
      <c r="B983" s="4" t="s">
        <v>4</v>
      </c>
      <c r="C983" s="4" t="s">
        <v>5</v>
      </c>
      <c r="D983" s="4"/>
      <c r="E983" s="4" t="s">
        <v>6</v>
      </c>
      <c r="F983" s="5"/>
      <c r="G983" s="4" t="s">
        <v>7</v>
      </c>
      <c r="H983" s="5"/>
      <c r="I983" s="5" t="s">
        <v>6</v>
      </c>
      <c r="J983" s="5"/>
    </row>
    <row r="984" spans="1:13">
      <c r="B984" s="4" t="s">
        <v>8</v>
      </c>
      <c r="C984" s="4" t="s">
        <v>8</v>
      </c>
      <c r="D984" s="4" t="s">
        <v>9</v>
      </c>
      <c r="E984" s="4" t="s">
        <v>8</v>
      </c>
      <c r="F984" s="5" t="s">
        <v>9</v>
      </c>
      <c r="G984" s="5" t="s">
        <v>8</v>
      </c>
      <c r="H984" s="5" t="s">
        <v>9</v>
      </c>
      <c r="I984" s="5" t="s">
        <v>8</v>
      </c>
      <c r="J984" s="5" t="s">
        <v>9</v>
      </c>
      <c r="M984" s="19"/>
    </row>
    <row r="985" spans="1:13">
      <c r="B985" s="4"/>
      <c r="C985" s="4"/>
      <c r="D985" s="4"/>
      <c r="E985" s="4"/>
      <c r="F985" s="4"/>
      <c r="G985" s="4"/>
      <c r="H985" s="4"/>
      <c r="I985" s="4"/>
      <c r="J985" s="4"/>
      <c r="M985" s="19"/>
    </row>
    <row r="986" spans="1:13">
      <c r="A986" s="3" t="s">
        <v>10</v>
      </c>
      <c r="B986" s="6">
        <v>558006</v>
      </c>
      <c r="C986" s="7">
        <v>93828</v>
      </c>
      <c r="D986" s="8">
        <f t="shared" ref="D986:D991" si="192">C986/B986</f>
        <v>0.16814872958355287</v>
      </c>
      <c r="E986" s="11">
        <v>53270341</v>
      </c>
      <c r="F986" s="10">
        <f t="shared" ref="F986:F991" si="193">E986/(E986+I986)</f>
        <v>0.18051673494467113</v>
      </c>
      <c r="G986" s="11">
        <v>464178</v>
      </c>
      <c r="H986" s="10">
        <f t="shared" ref="H986:H991" si="194">G986/B986</f>
        <v>0.83185127041644713</v>
      </c>
      <c r="I986" s="11">
        <v>241828842</v>
      </c>
      <c r="J986" s="10">
        <f t="shared" ref="J986:J991" si="195">I986/(E986+I986)</f>
        <v>0.81948326505532887</v>
      </c>
    </row>
    <row r="987" spans="1:13">
      <c r="A987" s="3" t="s">
        <v>11</v>
      </c>
      <c r="B987" s="20">
        <v>54971</v>
      </c>
      <c r="C987" s="7">
        <v>15577</v>
      </c>
      <c r="D987" s="8">
        <f t="shared" si="192"/>
        <v>0.28336759382219717</v>
      </c>
      <c r="E987" s="11">
        <v>13150603</v>
      </c>
      <c r="F987" s="10">
        <f t="shared" si="193"/>
        <v>0.26084216618791595</v>
      </c>
      <c r="G987" s="11">
        <v>39393</v>
      </c>
      <c r="H987" s="10">
        <f t="shared" si="194"/>
        <v>0.71661421476778664</v>
      </c>
      <c r="I987" s="11">
        <v>37265337</v>
      </c>
      <c r="J987" s="10">
        <f t="shared" si="195"/>
        <v>0.739157833812084</v>
      </c>
    </row>
    <row r="988" spans="1:13">
      <c r="A988" s="3" t="s">
        <v>12</v>
      </c>
      <c r="B988" s="20">
        <v>11586</v>
      </c>
      <c r="C988" s="7">
        <v>5377</v>
      </c>
      <c r="D988" s="8">
        <f t="shared" si="192"/>
        <v>0.46409459692732608</v>
      </c>
      <c r="E988" s="11">
        <v>108497276</v>
      </c>
      <c r="F988" s="10">
        <f t="shared" si="193"/>
        <v>0.61514501115047782</v>
      </c>
      <c r="G988" s="11">
        <v>6209</v>
      </c>
      <c r="H988" s="10">
        <f t="shared" si="194"/>
        <v>0.53590540307267387</v>
      </c>
      <c r="I988" s="11">
        <v>67879471</v>
      </c>
      <c r="J988" s="10">
        <f t="shared" si="195"/>
        <v>0.38485498884952218</v>
      </c>
    </row>
    <row r="989" spans="1:13">
      <c r="A989" s="3" t="s">
        <v>13</v>
      </c>
      <c r="B989" s="20">
        <v>402</v>
      </c>
      <c r="C989" s="7">
        <v>354</v>
      </c>
      <c r="D989" s="8">
        <f t="shared" si="192"/>
        <v>0.88059701492537312</v>
      </c>
      <c r="E989" s="11">
        <v>217474416</v>
      </c>
      <c r="F989" s="10">
        <f t="shared" si="193"/>
        <v>0.97662692313951749</v>
      </c>
      <c r="G989" s="11">
        <v>48</v>
      </c>
      <c r="H989" s="10">
        <f t="shared" si="194"/>
        <v>0.11940298507462686</v>
      </c>
      <c r="I989" s="11">
        <v>5204696</v>
      </c>
      <c r="J989" s="10">
        <f t="shared" si="195"/>
        <v>2.3373076860482539E-2</v>
      </c>
    </row>
    <row r="990" spans="1:13">
      <c r="A990" s="3" t="s">
        <v>65</v>
      </c>
      <c r="B990" s="20">
        <v>5953</v>
      </c>
      <c r="C990" s="7">
        <v>574</v>
      </c>
      <c r="D990" s="8">
        <f t="shared" si="192"/>
        <v>9.6421972114900056E-2</v>
      </c>
      <c r="E990" s="11">
        <v>46943</v>
      </c>
      <c r="F990" s="10">
        <f t="shared" si="193"/>
        <v>6.1027468405938035E-2</v>
      </c>
      <c r="G990" s="11">
        <v>5379</v>
      </c>
      <c r="H990" s="10">
        <f t="shared" si="194"/>
        <v>0.9035780278851</v>
      </c>
      <c r="I990" s="11">
        <v>722268</v>
      </c>
      <c r="J990" s="10">
        <f t="shared" si="195"/>
        <v>0.93897253159406202</v>
      </c>
      <c r="L990" s="19"/>
      <c r="M990" s="19"/>
    </row>
    <row r="991" spans="1:13" ht="15.75">
      <c r="B991" s="15">
        <f>SUM(B986:B990)</f>
        <v>630918</v>
      </c>
      <c r="C991" s="16">
        <f>SUM(C986:C990)</f>
        <v>115710</v>
      </c>
      <c r="D991" s="17">
        <f t="shared" si="192"/>
        <v>0.18339942750087967</v>
      </c>
      <c r="E991" s="18">
        <f>SUM(E986:E990)</f>
        <v>392439579</v>
      </c>
      <c r="F991" s="10">
        <f t="shared" si="193"/>
        <v>0.52652410628820068</v>
      </c>
      <c r="G991" s="18">
        <f>SUM(G986:G990)</f>
        <v>515207</v>
      </c>
      <c r="H991" s="17">
        <f t="shared" si="194"/>
        <v>0.81659898750709281</v>
      </c>
      <c r="I991" s="18">
        <f>SUM(I986:I990)</f>
        <v>352900614</v>
      </c>
      <c r="J991" s="10">
        <f t="shared" si="195"/>
        <v>0.47347589371179932</v>
      </c>
    </row>
    <row r="992" spans="1:13" ht="15.75">
      <c r="A992" s="1" t="s">
        <v>0</v>
      </c>
      <c r="B992" s="3"/>
      <c r="J992" s="3"/>
    </row>
    <row r="993" spans="1:13" ht="15.75">
      <c r="A993" s="1" t="s">
        <v>108</v>
      </c>
      <c r="B993" s="2"/>
      <c r="C993" s="2" t="s">
        <v>2</v>
      </c>
      <c r="D993" s="2"/>
      <c r="E993" s="2"/>
      <c r="F993" s="2"/>
      <c r="G993" s="2" t="s">
        <v>3</v>
      </c>
      <c r="H993" s="2"/>
      <c r="I993" s="2"/>
      <c r="J993" s="2"/>
    </row>
    <row r="994" spans="1:13">
      <c r="B994" s="4" t="s">
        <v>4</v>
      </c>
      <c r="C994" s="4" t="s">
        <v>5</v>
      </c>
      <c r="D994" s="4"/>
      <c r="E994" s="4" t="s">
        <v>6</v>
      </c>
      <c r="F994" s="5"/>
      <c r="G994" s="4" t="s">
        <v>7</v>
      </c>
      <c r="H994" s="5"/>
      <c r="I994" s="5" t="s">
        <v>6</v>
      </c>
      <c r="J994" s="5"/>
    </row>
    <row r="995" spans="1:13">
      <c r="B995" s="4" t="s">
        <v>8</v>
      </c>
      <c r="C995" s="4" t="s">
        <v>8</v>
      </c>
      <c r="D995" s="4" t="s">
        <v>9</v>
      </c>
      <c r="E995" s="4" t="s">
        <v>8</v>
      </c>
      <c r="F995" s="5" t="s">
        <v>9</v>
      </c>
      <c r="G995" s="5" t="s">
        <v>8</v>
      </c>
      <c r="H995" s="5" t="s">
        <v>9</v>
      </c>
      <c r="I995" s="5" t="s">
        <v>8</v>
      </c>
      <c r="J995" s="5" t="s">
        <v>9</v>
      </c>
      <c r="M995" s="19"/>
    </row>
    <row r="996" spans="1:13">
      <c r="B996" s="4"/>
      <c r="C996" s="4"/>
      <c r="D996" s="4"/>
      <c r="E996" s="4"/>
      <c r="F996" s="4"/>
      <c r="G996" s="4"/>
      <c r="H996" s="4"/>
      <c r="I996" s="4"/>
      <c r="J996" s="4"/>
      <c r="M996" s="19"/>
    </row>
    <row r="997" spans="1:13">
      <c r="A997" s="3" t="s">
        <v>10</v>
      </c>
      <c r="B997" s="6">
        <v>557389</v>
      </c>
      <c r="C997" s="7">
        <v>95226</v>
      </c>
      <c r="D997" s="8">
        <f t="shared" ref="D997:D1002" si="196">C997/B997</f>
        <v>0.17084298398425515</v>
      </c>
      <c r="E997" s="11">
        <v>54949416</v>
      </c>
      <c r="F997" s="10">
        <f t="shared" ref="F997:F1002" si="197">E997/(E997+I997)</f>
        <v>0.18440076075803793</v>
      </c>
      <c r="G997" s="11">
        <v>462163</v>
      </c>
      <c r="H997" s="10">
        <f t="shared" ref="H997:H1002" si="198">G997/B997</f>
        <v>0.82915701601574487</v>
      </c>
      <c r="I997" s="11">
        <v>243039680</v>
      </c>
      <c r="J997" s="10">
        <f t="shared" ref="J997:J1002" si="199">I997/(E997+I997)</f>
        <v>0.81559923924196209</v>
      </c>
    </row>
    <row r="998" spans="1:13">
      <c r="A998" s="3" t="s">
        <v>11</v>
      </c>
      <c r="B998" s="20">
        <v>54747</v>
      </c>
      <c r="C998" s="7">
        <v>15636</v>
      </c>
      <c r="D998" s="8">
        <f t="shared" si="196"/>
        <v>0.28560469066798183</v>
      </c>
      <c r="E998" s="11">
        <v>13314231</v>
      </c>
      <c r="F998" s="10">
        <f t="shared" si="197"/>
        <v>0.26461627787589914</v>
      </c>
      <c r="G998" s="11">
        <v>39111</v>
      </c>
      <c r="H998" s="10">
        <f t="shared" si="198"/>
        <v>0.71439530933201822</v>
      </c>
      <c r="I998" s="11">
        <v>37001007</v>
      </c>
      <c r="J998" s="10">
        <f t="shared" si="199"/>
        <v>0.73538372212410086</v>
      </c>
    </row>
    <row r="999" spans="1:13">
      <c r="A999" s="3" t="s">
        <v>12</v>
      </c>
      <c r="B999" s="20">
        <v>11559</v>
      </c>
      <c r="C999" s="7">
        <v>5380</v>
      </c>
      <c r="D999" s="8">
        <f t="shared" si="196"/>
        <v>0.46543818669435072</v>
      </c>
      <c r="E999" s="11">
        <v>111043522</v>
      </c>
      <c r="F999" s="10">
        <f t="shared" si="197"/>
        <v>0.61972564916951389</v>
      </c>
      <c r="G999" s="11">
        <v>6179</v>
      </c>
      <c r="H999" s="10">
        <f t="shared" si="198"/>
        <v>0.53456181330564922</v>
      </c>
      <c r="I999" s="11">
        <v>68138221</v>
      </c>
      <c r="J999" s="10">
        <f t="shared" si="199"/>
        <v>0.38027435083048611</v>
      </c>
    </row>
    <row r="1000" spans="1:13">
      <c r="A1000" s="3" t="s">
        <v>13</v>
      </c>
      <c r="B1000" s="20">
        <v>397</v>
      </c>
      <c r="C1000" s="7">
        <v>349</v>
      </c>
      <c r="D1000" s="8">
        <f t="shared" si="196"/>
        <v>0.87909319899244331</v>
      </c>
      <c r="E1000" s="11">
        <v>215991255</v>
      </c>
      <c r="F1000" s="10">
        <f t="shared" si="197"/>
        <v>0.98179045875130155</v>
      </c>
      <c r="G1000" s="11">
        <v>48</v>
      </c>
      <c r="H1000" s="10">
        <f t="shared" si="198"/>
        <v>0.12090680100755667</v>
      </c>
      <c r="I1000" s="11">
        <v>4006050</v>
      </c>
      <c r="J1000" s="10">
        <f t="shared" si="199"/>
        <v>1.8209541248698478E-2</v>
      </c>
    </row>
    <row r="1001" spans="1:13">
      <c r="A1001" s="3" t="s">
        <v>65</v>
      </c>
      <c r="B1001" s="20">
        <v>5520</v>
      </c>
      <c r="C1001" s="7">
        <v>581</v>
      </c>
      <c r="D1001" s="8">
        <f t="shared" si="196"/>
        <v>0.1052536231884058</v>
      </c>
      <c r="E1001" s="11">
        <v>48641</v>
      </c>
      <c r="F1001" s="10">
        <f t="shared" si="197"/>
        <v>6.2851627208612981E-2</v>
      </c>
      <c r="G1001" s="11">
        <v>4939</v>
      </c>
      <c r="H1001" s="10">
        <f t="shared" si="198"/>
        <v>0.89474637681159419</v>
      </c>
      <c r="I1001" s="11">
        <v>725261</v>
      </c>
      <c r="J1001" s="10">
        <f t="shared" si="199"/>
        <v>0.93714837279138707</v>
      </c>
      <c r="L1001" s="19"/>
      <c r="M1001" s="19"/>
    </row>
    <row r="1002" spans="1:13" ht="15.75">
      <c r="B1002" s="15">
        <f>SUM(B997:B1001)</f>
        <v>629612</v>
      </c>
      <c r="C1002" s="16">
        <f>SUM(C997:C1001)</f>
        <v>117172</v>
      </c>
      <c r="D1002" s="17">
        <f t="shared" si="196"/>
        <v>0.18610191673602156</v>
      </c>
      <c r="E1002" s="18">
        <f>SUM(E997:E1001)</f>
        <v>395347065</v>
      </c>
      <c r="F1002" s="10">
        <f t="shared" si="197"/>
        <v>0.52835712188001904</v>
      </c>
      <c r="G1002" s="18">
        <f>SUM(G997:G1001)</f>
        <v>512440</v>
      </c>
      <c r="H1002" s="17">
        <f t="shared" si="198"/>
        <v>0.8138980832639785</v>
      </c>
      <c r="I1002" s="18">
        <f>SUM(I997:I1001)</f>
        <v>352910219</v>
      </c>
      <c r="J1002" s="10">
        <f t="shared" si="199"/>
        <v>0.47164287811998101</v>
      </c>
    </row>
    <row r="1003" spans="1:13" ht="15.75">
      <c r="A1003" s="1" t="s">
        <v>0</v>
      </c>
      <c r="B1003" s="3"/>
      <c r="J1003" s="3"/>
    </row>
    <row r="1004" spans="1:13" ht="15.75">
      <c r="A1004" s="1" t="s">
        <v>109</v>
      </c>
      <c r="B1004" s="2"/>
      <c r="C1004" s="2" t="s">
        <v>2</v>
      </c>
      <c r="D1004" s="2"/>
      <c r="E1004" s="2"/>
      <c r="F1004" s="2"/>
      <c r="G1004" s="2" t="s">
        <v>3</v>
      </c>
      <c r="H1004" s="2"/>
      <c r="I1004" s="2"/>
      <c r="J1004" s="2"/>
    </row>
    <row r="1005" spans="1:13">
      <c r="B1005" s="4" t="s">
        <v>4</v>
      </c>
      <c r="C1005" s="4" t="s">
        <v>5</v>
      </c>
      <c r="D1005" s="4"/>
      <c r="E1005" s="4" t="s">
        <v>6</v>
      </c>
      <c r="F1005" s="5"/>
      <c r="G1005" s="4" t="s">
        <v>7</v>
      </c>
      <c r="H1005" s="5"/>
      <c r="I1005" s="5" t="s">
        <v>6</v>
      </c>
      <c r="J1005" s="5"/>
    </row>
    <row r="1006" spans="1:13">
      <c r="B1006" s="4" t="s">
        <v>8</v>
      </c>
      <c r="C1006" s="4" t="s">
        <v>8</v>
      </c>
      <c r="D1006" s="4" t="s">
        <v>9</v>
      </c>
      <c r="E1006" s="4" t="s">
        <v>8</v>
      </c>
      <c r="F1006" s="5" t="s">
        <v>9</v>
      </c>
      <c r="G1006" s="5" t="s">
        <v>8</v>
      </c>
      <c r="H1006" s="5" t="s">
        <v>9</v>
      </c>
      <c r="I1006" s="5" t="s">
        <v>8</v>
      </c>
      <c r="J1006" s="5" t="s">
        <v>9</v>
      </c>
      <c r="M1006" s="19"/>
    </row>
    <row r="1007" spans="1:13">
      <c r="B1007" s="4"/>
      <c r="C1007" s="4"/>
      <c r="D1007" s="4"/>
      <c r="E1007" s="4"/>
      <c r="F1007" s="4"/>
      <c r="G1007" s="4"/>
      <c r="H1007" s="4"/>
      <c r="I1007" s="4"/>
      <c r="J1007" s="4"/>
      <c r="M1007" s="19"/>
    </row>
    <row r="1008" spans="1:13">
      <c r="A1008" s="3" t="s">
        <v>10</v>
      </c>
      <c r="B1008" s="6">
        <v>557232</v>
      </c>
      <c r="C1008" s="7">
        <v>96551</v>
      </c>
      <c r="D1008" s="8">
        <f t="shared" ref="D1008:D1013" si="200">C1008/B1008</f>
        <v>0.17326894363568496</v>
      </c>
      <c r="E1008" s="11">
        <v>53506336</v>
      </c>
      <c r="F1008" s="10">
        <f>E1008/(E1008+I1008)</f>
        <v>0.18554399814206105</v>
      </c>
      <c r="G1008" s="11">
        <v>460681</v>
      </c>
      <c r="H1008" s="10">
        <f t="shared" ref="H1008:H1013" si="201">G1008/B1008</f>
        <v>0.8267310563643151</v>
      </c>
      <c r="I1008" s="11">
        <v>234869125</v>
      </c>
      <c r="J1008" s="10">
        <f>I1008/(E1008+I1008)</f>
        <v>0.81445600185793898</v>
      </c>
    </row>
    <row r="1009" spans="1:13">
      <c r="A1009" s="3" t="s">
        <v>11</v>
      </c>
      <c r="B1009" s="20">
        <v>54546</v>
      </c>
      <c r="C1009" s="7">
        <v>15702</v>
      </c>
      <c r="D1009" s="8">
        <f t="shared" si="200"/>
        <v>0.28786712132878672</v>
      </c>
      <c r="E1009" s="11">
        <v>13488271</v>
      </c>
      <c r="F1009" s="10">
        <f>E1009/(E1009+I1009)</f>
        <v>0.27458426958926924</v>
      </c>
      <c r="G1009" s="11">
        <v>38845</v>
      </c>
      <c r="H1009" s="10">
        <f t="shared" si="201"/>
        <v>0.7121512118212151</v>
      </c>
      <c r="I1009" s="11">
        <v>35634248</v>
      </c>
      <c r="J1009" s="10">
        <f>I1009/(E1009+I1009)</f>
        <v>0.72541573041073082</v>
      </c>
    </row>
    <row r="1010" spans="1:13">
      <c r="A1010" s="3" t="s">
        <v>12</v>
      </c>
      <c r="B1010" s="20">
        <v>11571</v>
      </c>
      <c r="C1010" s="7">
        <v>5404</v>
      </c>
      <c r="D1010" s="8">
        <f t="shared" si="200"/>
        <v>0.46702964307320022</v>
      </c>
      <c r="E1010" s="11">
        <v>112729715</v>
      </c>
      <c r="F1010" s="10">
        <f>E1010/(E1010+I1010)</f>
        <v>0.63904190500251012</v>
      </c>
      <c r="G1010" s="11">
        <v>6167</v>
      </c>
      <c r="H1010" s="10">
        <f t="shared" si="201"/>
        <v>0.53297035692679973</v>
      </c>
      <c r="I1010" s="11">
        <v>63674546</v>
      </c>
      <c r="J1010" s="10">
        <f>I1010/(E1010+I1010)</f>
        <v>0.36095809499748988</v>
      </c>
    </row>
    <row r="1011" spans="1:13">
      <c r="A1011" s="3" t="s">
        <v>13</v>
      </c>
      <c r="B1011" s="20">
        <v>402</v>
      </c>
      <c r="C1011" s="7">
        <v>353</v>
      </c>
      <c r="D1011" s="8">
        <f t="shared" si="200"/>
        <v>0.87810945273631846</v>
      </c>
      <c r="E1011" s="11">
        <v>223097016</v>
      </c>
      <c r="F1011" s="10">
        <f>E1011/(E1011+I1011)</f>
        <v>0.97622675340437048</v>
      </c>
      <c r="G1011" s="11">
        <v>49</v>
      </c>
      <c r="H1011" s="10">
        <f t="shared" si="201"/>
        <v>0.12189054726368159</v>
      </c>
      <c r="I1011" s="11">
        <v>5432898</v>
      </c>
      <c r="J1011" s="10">
        <f>I1011/(E1011+I1011)</f>
        <v>2.3773246595629488E-2</v>
      </c>
    </row>
    <row r="1012" spans="1:13">
      <c r="A1012" s="3" t="s">
        <v>65</v>
      </c>
      <c r="B1012" s="20">
        <v>5506</v>
      </c>
      <c r="C1012" s="7">
        <v>588</v>
      </c>
      <c r="D1012" s="8">
        <f t="shared" si="200"/>
        <v>0.10679258990192517</v>
      </c>
      <c r="E1012" s="11">
        <v>52060</v>
      </c>
      <c r="F1012" s="10">
        <f>E1012/(E1012+I1012)</f>
        <v>6.7631205968590333E-2</v>
      </c>
      <c r="G1012" s="11">
        <v>4918</v>
      </c>
      <c r="H1012" s="10">
        <f t="shared" si="201"/>
        <v>0.89320741009807481</v>
      </c>
      <c r="I1012" s="11">
        <v>717703</v>
      </c>
      <c r="J1012" s="10">
        <f>I1012/(E1012+I1012)</f>
        <v>0.93236879403140971</v>
      </c>
      <c r="L1012" s="19"/>
      <c r="M1012" s="19"/>
    </row>
    <row r="1013" spans="1:13" ht="15.75">
      <c r="B1013" s="15">
        <f>SUM(B1008:B1012)</f>
        <v>629257</v>
      </c>
      <c r="C1013" s="16">
        <f>SUM(C1008:C1012)</f>
        <v>118598</v>
      </c>
      <c r="D1013" s="17">
        <f t="shared" si="200"/>
        <v>0.18847307221055945</v>
      </c>
      <c r="E1013" s="18">
        <f>SUM(E1008:E1012)</f>
        <v>402873398</v>
      </c>
      <c r="F1013" s="21">
        <f>E1013/810342360</f>
        <v>0.49716443059943205</v>
      </c>
      <c r="G1013" s="18">
        <f>SUM(G1008:G1012)</f>
        <v>510660</v>
      </c>
      <c r="H1013" s="17">
        <f t="shared" si="201"/>
        <v>0.8115285169652463</v>
      </c>
      <c r="I1013" s="18">
        <f>SUM(I1008:I1012)</f>
        <v>340328520</v>
      </c>
      <c r="J1013" s="21">
        <f>I1013/810342360</f>
        <v>0.41998115463197555</v>
      </c>
    </row>
    <row r="1014" spans="1:13" ht="15.75">
      <c r="A1014" s="1" t="s">
        <v>0</v>
      </c>
      <c r="B1014" s="3"/>
      <c r="J1014" s="3"/>
    </row>
    <row r="1015" spans="1:13" ht="15.75">
      <c r="A1015" s="1" t="s">
        <v>110</v>
      </c>
      <c r="B1015" s="2"/>
      <c r="C1015" s="2" t="s">
        <v>2</v>
      </c>
      <c r="D1015" s="2"/>
      <c r="E1015" s="2"/>
      <c r="F1015" s="2"/>
      <c r="G1015" s="2" t="s">
        <v>3</v>
      </c>
      <c r="H1015" s="2"/>
      <c r="I1015" s="2"/>
      <c r="J1015" s="2"/>
    </row>
    <row r="1016" spans="1:13">
      <c r="B1016" s="4" t="s">
        <v>4</v>
      </c>
      <c r="C1016" s="4" t="s">
        <v>5</v>
      </c>
      <c r="D1016" s="4"/>
      <c r="E1016" s="4" t="s">
        <v>6</v>
      </c>
      <c r="F1016" s="5"/>
      <c r="G1016" s="4" t="s">
        <v>7</v>
      </c>
      <c r="H1016" s="5"/>
      <c r="I1016" s="5" t="s">
        <v>6</v>
      </c>
      <c r="J1016" s="5"/>
    </row>
    <row r="1017" spans="1:13">
      <c r="B1017" s="4" t="s">
        <v>8</v>
      </c>
      <c r="C1017" s="4" t="s">
        <v>8</v>
      </c>
      <c r="D1017" s="4" t="s">
        <v>9</v>
      </c>
      <c r="E1017" s="4" t="s">
        <v>8</v>
      </c>
      <c r="F1017" s="5" t="s">
        <v>9</v>
      </c>
      <c r="G1017" s="5" t="s">
        <v>8</v>
      </c>
      <c r="H1017" s="5" t="s">
        <v>9</v>
      </c>
      <c r="I1017" s="5" t="s">
        <v>8</v>
      </c>
      <c r="J1017" s="5" t="s">
        <v>9</v>
      </c>
    </row>
    <row r="1018" spans="1:13">
      <c r="B1018" s="4"/>
      <c r="C1018" s="4"/>
      <c r="D1018" s="4"/>
      <c r="E1018" s="4"/>
      <c r="F1018" s="4"/>
      <c r="G1018" s="4"/>
      <c r="H1018" s="4"/>
      <c r="I1018" s="4"/>
      <c r="J1018" s="4"/>
      <c r="M1018" s="19"/>
    </row>
    <row r="1019" spans="1:13">
      <c r="A1019" s="3" t="s">
        <v>10</v>
      </c>
      <c r="B1019" s="6">
        <v>556851</v>
      </c>
      <c r="C1019" s="7">
        <v>97369</v>
      </c>
      <c r="D1019" s="8">
        <f t="shared" ref="D1019:D1024" si="202">C1019/B1019</f>
        <v>0.17485646968399088</v>
      </c>
      <c r="E1019" s="11">
        <v>49241946</v>
      </c>
      <c r="F1019" s="10">
        <f>E1019/(E1019+I1019)</f>
        <v>0.18333238164851792</v>
      </c>
      <c r="G1019" s="11">
        <v>459482</v>
      </c>
      <c r="H1019" s="10">
        <f t="shared" ref="H1019:H1024" si="203">G1019/B1019</f>
        <v>0.82514353031600918</v>
      </c>
      <c r="I1019" s="11">
        <v>219351881</v>
      </c>
      <c r="J1019" s="10">
        <f>I1019/(E1019+I1019)</f>
        <v>0.81666761835148205</v>
      </c>
    </row>
    <row r="1020" spans="1:13">
      <c r="A1020" s="3" t="s">
        <v>11</v>
      </c>
      <c r="B1020" s="20">
        <v>54688</v>
      </c>
      <c r="C1020" s="7">
        <v>15828</v>
      </c>
      <c r="D1020" s="8">
        <f t="shared" si="202"/>
        <v>0.28942363955529549</v>
      </c>
      <c r="E1020" s="11">
        <v>12543367</v>
      </c>
      <c r="F1020" s="10">
        <f>E1020/(E1020+I1020)</f>
        <v>0.28104092829205068</v>
      </c>
      <c r="G1020" s="11">
        <v>38860</v>
      </c>
      <c r="H1020" s="10">
        <f t="shared" si="203"/>
        <v>0.71057636044470451</v>
      </c>
      <c r="I1020" s="11">
        <v>32088449</v>
      </c>
      <c r="J1020" s="10">
        <f>I1020/(E1020+I1020)</f>
        <v>0.71895907170794937</v>
      </c>
    </row>
    <row r="1021" spans="1:13">
      <c r="A1021" s="3" t="s">
        <v>12</v>
      </c>
      <c r="B1021" s="20">
        <v>11913</v>
      </c>
      <c r="C1021" s="7">
        <v>5603</v>
      </c>
      <c r="D1021" s="8">
        <f t="shared" si="202"/>
        <v>0.47032653403844538</v>
      </c>
      <c r="E1021" s="11">
        <v>104076490</v>
      </c>
      <c r="F1021" s="10">
        <f>E1021/(E1021+I1021)</f>
        <v>0.65253428776420963</v>
      </c>
      <c r="G1021" s="11">
        <v>6310</v>
      </c>
      <c r="H1021" s="10">
        <f t="shared" si="203"/>
        <v>0.52967346596155462</v>
      </c>
      <c r="I1021" s="11">
        <v>55419328</v>
      </c>
      <c r="J1021" s="10">
        <f>I1021/(E1021+I1021)</f>
        <v>0.34746571223579042</v>
      </c>
    </row>
    <row r="1022" spans="1:13">
      <c r="A1022" s="3" t="s">
        <v>13</v>
      </c>
      <c r="B1022" s="20">
        <v>409</v>
      </c>
      <c r="C1022" s="7">
        <v>363</v>
      </c>
      <c r="D1022" s="8">
        <f t="shared" si="202"/>
        <v>0.8875305623471883</v>
      </c>
      <c r="E1022" s="11">
        <v>208881935</v>
      </c>
      <c r="F1022" s="10">
        <f>E1022/(E1022+I1022)</f>
        <v>0.98015201177879541</v>
      </c>
      <c r="G1022" s="11">
        <v>46</v>
      </c>
      <c r="H1022" s="10">
        <f t="shared" si="203"/>
        <v>0.11246943765281174</v>
      </c>
      <c r="I1022" s="11">
        <v>4229840</v>
      </c>
      <c r="J1022" s="10">
        <f>I1022/(E1022+I1022)</f>
        <v>1.9847988221204576E-2</v>
      </c>
    </row>
    <row r="1023" spans="1:13">
      <c r="A1023" s="3" t="s">
        <v>65</v>
      </c>
      <c r="B1023" s="20">
        <v>5664</v>
      </c>
      <c r="C1023" s="7">
        <v>593</v>
      </c>
      <c r="D1023" s="8">
        <f t="shared" si="202"/>
        <v>0.10469632768361582</v>
      </c>
      <c r="E1023" s="11">
        <v>61667</v>
      </c>
      <c r="F1023" s="10">
        <f>E1023/(E1023+I1023)</f>
        <v>7.6081283981933048E-2</v>
      </c>
      <c r="G1023" s="11">
        <v>5071</v>
      </c>
      <c r="H1023" s="10">
        <f t="shared" si="203"/>
        <v>0.89530367231638419</v>
      </c>
      <c r="I1023" s="11">
        <v>748874</v>
      </c>
      <c r="J1023" s="10">
        <f>I1023/(E1023+I1023)</f>
        <v>0.92391871601806697</v>
      </c>
      <c r="L1023" s="19"/>
      <c r="M1023" s="19"/>
    </row>
    <row r="1024" spans="1:13" ht="15.75">
      <c r="B1024" s="15">
        <f>SUM(B1019:B1023)</f>
        <v>629525</v>
      </c>
      <c r="C1024" s="16">
        <f>SUM(C1019:C1023)</f>
        <v>119756</v>
      </c>
      <c r="D1024" s="17">
        <f t="shared" si="202"/>
        <v>0.19023231801755291</v>
      </c>
      <c r="E1024" s="18">
        <f>SUM(E1019:E1023)</f>
        <v>374805405</v>
      </c>
      <c r="F1024" s="21">
        <f>E1024/810342360</f>
        <v>0.46252722738078261</v>
      </c>
      <c r="G1024" s="18">
        <f>SUM(G1019:G1023)</f>
        <v>509769</v>
      </c>
      <c r="H1024" s="17">
        <f t="shared" si="203"/>
        <v>0.80976768198244709</v>
      </c>
      <c r="I1024" s="18">
        <f>SUM(I1019:I1023)</f>
        <v>311838372</v>
      </c>
      <c r="J1024" s="21">
        <f>I1024/810342360</f>
        <v>0.38482299259290853</v>
      </c>
    </row>
    <row r="1025" spans="1:13" ht="15.75">
      <c r="A1025" s="1" t="s">
        <v>0</v>
      </c>
      <c r="B1025" s="3"/>
      <c r="J1025" s="3"/>
    </row>
    <row r="1026" spans="1:13" ht="15.75">
      <c r="A1026" s="1" t="s">
        <v>111</v>
      </c>
      <c r="B1026" s="2"/>
      <c r="C1026" s="2" t="s">
        <v>2</v>
      </c>
      <c r="D1026" s="2"/>
      <c r="E1026" s="2"/>
      <c r="F1026" s="2"/>
      <c r="G1026" s="2" t="s">
        <v>3</v>
      </c>
      <c r="H1026" s="2"/>
      <c r="I1026" s="2"/>
      <c r="J1026" s="2"/>
    </row>
    <row r="1027" spans="1:13">
      <c r="B1027" s="4" t="s">
        <v>4</v>
      </c>
      <c r="C1027" s="4" t="s">
        <v>5</v>
      </c>
      <c r="D1027" s="4"/>
      <c r="E1027" s="4" t="s">
        <v>6</v>
      </c>
      <c r="F1027" s="5"/>
      <c r="G1027" s="4" t="s">
        <v>7</v>
      </c>
      <c r="H1027" s="5"/>
      <c r="I1027" s="5" t="s">
        <v>6</v>
      </c>
      <c r="J1027" s="5"/>
    </row>
    <row r="1028" spans="1:13">
      <c r="B1028" s="4" t="s">
        <v>8</v>
      </c>
      <c r="C1028" s="4" t="s">
        <v>8</v>
      </c>
      <c r="D1028" s="4" t="s">
        <v>9</v>
      </c>
      <c r="E1028" s="4" t="s">
        <v>8</v>
      </c>
      <c r="F1028" s="5" t="s">
        <v>9</v>
      </c>
      <c r="G1028" s="5" t="s">
        <v>8</v>
      </c>
      <c r="H1028" s="5" t="s">
        <v>9</v>
      </c>
      <c r="I1028" s="5" t="s">
        <v>8</v>
      </c>
      <c r="J1028" s="5" t="s">
        <v>9</v>
      </c>
    </row>
    <row r="1029" spans="1:13">
      <c r="B1029" s="4"/>
      <c r="C1029" s="4"/>
      <c r="D1029" s="4"/>
      <c r="E1029" s="4"/>
      <c r="F1029" s="4"/>
      <c r="G1029" s="4"/>
      <c r="H1029" s="4"/>
      <c r="I1029" s="4"/>
      <c r="J1029" s="4"/>
      <c r="M1029" s="19"/>
    </row>
    <row r="1030" spans="1:13">
      <c r="A1030" s="3" t="s">
        <v>10</v>
      </c>
      <c r="B1030" s="6">
        <v>557597</v>
      </c>
      <c r="C1030" s="7">
        <v>96669</v>
      </c>
      <c r="D1030" s="8">
        <f t="shared" ref="D1030:D1035" si="204">C1030/B1030</f>
        <v>0.17336714508865722</v>
      </c>
      <c r="E1030" s="11">
        <v>52257705</v>
      </c>
      <c r="F1030" s="10">
        <f>E1030/(E1030+I1030)</f>
        <v>0.17872866767614834</v>
      </c>
      <c r="G1030" s="11">
        <v>460928</v>
      </c>
      <c r="H1030" s="10">
        <f t="shared" ref="H1030:H1035" si="205">G1030/B1030</f>
        <v>0.82663285491134275</v>
      </c>
      <c r="I1030" s="11">
        <v>240127986</v>
      </c>
      <c r="J1030" s="10">
        <f>I1030/(E1030+I1030)</f>
        <v>0.82127133232385163</v>
      </c>
    </row>
    <row r="1031" spans="1:13">
      <c r="A1031" s="3" t="s">
        <v>11</v>
      </c>
      <c r="B1031" s="20">
        <v>53891</v>
      </c>
      <c r="C1031" s="7">
        <v>15709</v>
      </c>
      <c r="D1031" s="8">
        <f t="shared" si="204"/>
        <v>0.29149579707186729</v>
      </c>
      <c r="E1031" s="11">
        <v>12717668</v>
      </c>
      <c r="F1031" s="10">
        <f>E1031/(E1031+I1031)</f>
        <v>0.27739619597394649</v>
      </c>
      <c r="G1031" s="11">
        <v>38182</v>
      </c>
      <c r="H1031" s="10">
        <f t="shared" si="205"/>
        <v>0.70850420292813276</v>
      </c>
      <c r="I1031" s="11">
        <v>33128916</v>
      </c>
      <c r="J1031" s="10">
        <f>I1031/(E1031+I1031)</f>
        <v>0.72260380402605351</v>
      </c>
    </row>
    <row r="1032" spans="1:13">
      <c r="A1032" s="3" t="s">
        <v>12</v>
      </c>
      <c r="B1032" s="20">
        <v>11187</v>
      </c>
      <c r="C1032" s="7">
        <v>5326</v>
      </c>
      <c r="D1032" s="8">
        <f t="shared" si="204"/>
        <v>0.47608831679628139</v>
      </c>
      <c r="E1032" s="11">
        <v>99046336</v>
      </c>
      <c r="F1032" s="10">
        <f>E1032/(E1032+I1032)</f>
        <v>0.65884045670314839</v>
      </c>
      <c r="G1032" s="11">
        <v>5861</v>
      </c>
      <c r="H1032" s="10">
        <f t="shared" si="205"/>
        <v>0.52391168320371861</v>
      </c>
      <c r="I1032" s="11">
        <v>51287990</v>
      </c>
      <c r="J1032" s="10">
        <f>I1032/(E1032+I1032)</f>
        <v>0.34115954329685155</v>
      </c>
    </row>
    <row r="1033" spans="1:13">
      <c r="A1033" s="3" t="s">
        <v>13</v>
      </c>
      <c r="B1033" s="20">
        <v>385</v>
      </c>
      <c r="C1033" s="7">
        <v>341</v>
      </c>
      <c r="D1033" s="8">
        <f t="shared" si="204"/>
        <v>0.88571428571428568</v>
      </c>
      <c r="E1033" s="11">
        <v>186550097</v>
      </c>
      <c r="F1033" s="10">
        <f>E1033/(E1033+I1033)</f>
        <v>0.9794516197354437</v>
      </c>
      <c r="G1033" s="11">
        <v>44</v>
      </c>
      <c r="H1033" s="10">
        <f t="shared" si="205"/>
        <v>0.11428571428571428</v>
      </c>
      <c r="I1033" s="11">
        <v>3913723</v>
      </c>
      <c r="J1033" s="10">
        <f>I1033/(E1033+I1033)</f>
        <v>2.0548380264556281E-2</v>
      </c>
    </row>
    <row r="1034" spans="1:13">
      <c r="A1034" s="3" t="s">
        <v>65</v>
      </c>
      <c r="B1034" s="20">
        <v>4894</v>
      </c>
      <c r="C1034" s="7">
        <v>557</v>
      </c>
      <c r="D1034" s="8">
        <f t="shared" si="204"/>
        <v>0.11381283203923172</v>
      </c>
      <c r="E1034" s="11">
        <v>54373</v>
      </c>
      <c r="F1034" s="10">
        <f>E1034/(E1034+I1034)</f>
        <v>7.4458979980581749E-2</v>
      </c>
      <c r="G1034" s="11">
        <v>4337</v>
      </c>
      <c r="H1034" s="10">
        <f t="shared" si="205"/>
        <v>0.88618716796076824</v>
      </c>
      <c r="I1034" s="11">
        <v>675868</v>
      </c>
      <c r="J1034" s="10">
        <f>I1034/(E1034+I1034)</f>
        <v>0.92554102001941829</v>
      </c>
      <c r="L1034" s="19"/>
      <c r="M1034" s="19"/>
    </row>
    <row r="1035" spans="1:13" ht="15.75">
      <c r="B1035" s="15">
        <f>SUM(B1030:B1034)</f>
        <v>627954</v>
      </c>
      <c r="C1035" s="16">
        <f>SUM(C1030:C1034)</f>
        <v>118602</v>
      </c>
      <c r="D1035" s="17">
        <f t="shared" si="204"/>
        <v>0.18887052236310303</v>
      </c>
      <c r="E1035" s="18">
        <f>SUM(E1030:E1034)</f>
        <v>350626179</v>
      </c>
      <c r="F1035" s="21">
        <f>E1035/810342360</f>
        <v>0.43268894273279751</v>
      </c>
      <c r="G1035" s="18">
        <f>SUM(G1030:G1034)</f>
        <v>509352</v>
      </c>
      <c r="H1035" s="17">
        <f t="shared" si="205"/>
        <v>0.81112947763689702</v>
      </c>
      <c r="I1035" s="18">
        <f>SUM(I1030:I1034)</f>
        <v>329134483</v>
      </c>
      <c r="J1035" s="21">
        <f>I1035/810342360</f>
        <v>0.40616719456699757</v>
      </c>
    </row>
    <row r="1036" spans="1:13" ht="15.75">
      <c r="A1036" s="1" t="s">
        <v>0</v>
      </c>
      <c r="B1036" s="3"/>
      <c r="J1036" s="3"/>
    </row>
    <row r="1037" spans="1:13" ht="15.75">
      <c r="A1037" s="1" t="s">
        <v>112</v>
      </c>
      <c r="B1037" s="2"/>
      <c r="C1037" s="2" t="s">
        <v>2</v>
      </c>
      <c r="D1037" s="2"/>
      <c r="E1037" s="2"/>
      <c r="F1037" s="2"/>
      <c r="G1037" s="2" t="s">
        <v>3</v>
      </c>
      <c r="H1037" s="2"/>
      <c r="I1037" s="2"/>
      <c r="J1037" s="2"/>
    </row>
    <row r="1038" spans="1:13">
      <c r="B1038" s="4" t="s">
        <v>4</v>
      </c>
      <c r="C1038" s="4" t="s">
        <v>5</v>
      </c>
      <c r="D1038" s="4"/>
      <c r="E1038" s="4" t="s">
        <v>6</v>
      </c>
      <c r="F1038" s="5"/>
      <c r="G1038" s="4" t="s">
        <v>7</v>
      </c>
      <c r="H1038" s="5"/>
      <c r="I1038" s="5" t="s">
        <v>6</v>
      </c>
      <c r="J1038" s="5"/>
    </row>
    <row r="1039" spans="1:13">
      <c r="B1039" s="4" t="s">
        <v>8</v>
      </c>
      <c r="C1039" s="4" t="s">
        <v>8</v>
      </c>
      <c r="D1039" s="4" t="s">
        <v>9</v>
      </c>
      <c r="E1039" s="4" t="s">
        <v>8</v>
      </c>
      <c r="F1039" s="5" t="s">
        <v>9</v>
      </c>
      <c r="G1039" s="5" t="s">
        <v>8</v>
      </c>
      <c r="H1039" s="5" t="s">
        <v>9</v>
      </c>
      <c r="I1039" s="5" t="s">
        <v>8</v>
      </c>
      <c r="J1039" s="5" t="s">
        <v>9</v>
      </c>
    </row>
    <row r="1040" spans="1:13">
      <c r="B1040" s="4"/>
      <c r="C1040" s="4"/>
      <c r="D1040" s="4"/>
      <c r="E1040" s="4"/>
      <c r="F1040" s="4"/>
      <c r="G1040" s="4"/>
      <c r="H1040" s="4"/>
      <c r="I1040" s="4"/>
      <c r="J1040" s="4"/>
      <c r="M1040" s="19"/>
    </row>
    <row r="1041" spans="1:13">
      <c r="A1041" s="3" t="s">
        <v>10</v>
      </c>
      <c r="B1041" s="6">
        <v>557354</v>
      </c>
      <c r="C1041" s="7">
        <v>97438</v>
      </c>
      <c r="D1041" s="8">
        <f t="shared" ref="D1041:D1046" si="206">C1041/B1041</f>
        <v>0.17482246471721744</v>
      </c>
      <c r="E1041" s="11">
        <v>62781634</v>
      </c>
      <c r="F1041" s="10">
        <f>E1041/(E1041+I1041)</f>
        <v>0.17749768378336683</v>
      </c>
      <c r="G1041" s="11">
        <v>459916</v>
      </c>
      <c r="H1041" s="10">
        <f t="shared" ref="H1041:H1046" si="207">G1041/B1041</f>
        <v>0.82517753528278259</v>
      </c>
      <c r="I1041" s="11">
        <v>290922328</v>
      </c>
      <c r="J1041" s="10">
        <f>I1041/(E1041+I1041)</f>
        <v>0.82250231621663317</v>
      </c>
    </row>
    <row r="1042" spans="1:13">
      <c r="A1042" s="3" t="s">
        <v>11</v>
      </c>
      <c r="B1042" s="20">
        <v>59686</v>
      </c>
      <c r="C1042" s="7">
        <v>17316</v>
      </c>
      <c r="D1042" s="8">
        <f t="shared" si="206"/>
        <v>0.29011828569513787</v>
      </c>
      <c r="E1042" s="11">
        <v>14747992</v>
      </c>
      <c r="F1042" s="10">
        <f>E1042/(E1042+I1042)</f>
        <v>0.27447965065801266</v>
      </c>
      <c r="G1042" s="11">
        <v>42370</v>
      </c>
      <c r="H1042" s="10">
        <f t="shared" si="207"/>
        <v>0.70988171430486213</v>
      </c>
      <c r="I1042" s="11">
        <v>38982738</v>
      </c>
      <c r="J1042" s="10">
        <f>I1042/(E1042+I1042)</f>
        <v>0.72552034934198739</v>
      </c>
    </row>
    <row r="1043" spans="1:13">
      <c r="A1043" s="3" t="s">
        <v>12</v>
      </c>
      <c r="B1043" s="20">
        <v>12769</v>
      </c>
      <c r="C1043" s="7">
        <v>6119</v>
      </c>
      <c r="D1043" s="8">
        <f t="shared" si="206"/>
        <v>0.47920745555642574</v>
      </c>
      <c r="E1043" s="11">
        <v>116692311</v>
      </c>
      <c r="F1043" s="10">
        <f>E1043/(E1043+I1043)</f>
        <v>0.65759348946987639</v>
      </c>
      <c r="G1043" s="11">
        <v>6650</v>
      </c>
      <c r="H1043" s="10">
        <f t="shared" si="207"/>
        <v>0.52079254444357426</v>
      </c>
      <c r="I1043" s="11">
        <v>60761257</v>
      </c>
      <c r="J1043" s="10">
        <f>I1043/(E1043+I1043)</f>
        <v>0.34240651053012355</v>
      </c>
    </row>
    <row r="1044" spans="1:13">
      <c r="A1044" s="3" t="s">
        <v>13</v>
      </c>
      <c r="B1044" s="20">
        <v>472</v>
      </c>
      <c r="C1044" s="7">
        <v>419</v>
      </c>
      <c r="D1044" s="8">
        <f t="shared" si="206"/>
        <v>0.88771186440677963</v>
      </c>
      <c r="E1044" s="11">
        <v>219749352</v>
      </c>
      <c r="F1044" s="10">
        <f>E1044/(E1044+I1044)</f>
        <v>0.97858725428091442</v>
      </c>
      <c r="G1044" s="11">
        <v>53</v>
      </c>
      <c r="H1044" s="10">
        <f t="shared" si="207"/>
        <v>0.11228813559322035</v>
      </c>
      <c r="I1044" s="11">
        <v>4808398</v>
      </c>
      <c r="J1044" s="10">
        <f>I1044/(E1044+I1044)</f>
        <v>2.1412745719085625E-2</v>
      </c>
    </row>
    <row r="1045" spans="1:13">
      <c r="A1045" s="3" t="s">
        <v>65</v>
      </c>
      <c r="B1045" s="20">
        <v>6670</v>
      </c>
      <c r="C1045" s="7">
        <v>589</v>
      </c>
      <c r="D1045" s="8">
        <f t="shared" si="206"/>
        <v>8.8305847076461774E-2</v>
      </c>
      <c r="E1045" s="11">
        <v>88562</v>
      </c>
      <c r="F1045" s="10">
        <f>E1045/(E1045+I1045)</f>
        <v>9.8802922965359516E-2</v>
      </c>
      <c r="G1045" s="11">
        <v>6081</v>
      </c>
      <c r="H1045" s="10">
        <f t="shared" si="207"/>
        <v>0.91169415292353828</v>
      </c>
      <c r="I1045" s="11">
        <v>807788</v>
      </c>
      <c r="J1045" s="10">
        <f>I1045/(E1045+I1045)</f>
        <v>0.90119707703464047</v>
      </c>
      <c r="L1045" s="19"/>
      <c r="M1045" s="19"/>
    </row>
    <row r="1046" spans="1:13" ht="15.75">
      <c r="B1046" s="15">
        <f>SUM(B1041:B1045)</f>
        <v>636951</v>
      </c>
      <c r="C1046" s="16">
        <f>SUM(C1041:C1045)</f>
        <v>121881</v>
      </c>
      <c r="D1046" s="17">
        <f t="shared" si="206"/>
        <v>0.19135066904675557</v>
      </c>
      <c r="E1046" s="18">
        <f>SUM(E1041:E1045)</f>
        <v>414059851</v>
      </c>
      <c r="F1046" s="21">
        <f>E1046/810342360</f>
        <v>0.51096903165718743</v>
      </c>
      <c r="G1046" s="18">
        <f>SUM(G1041:G1045)</f>
        <v>515070</v>
      </c>
      <c r="H1046" s="17">
        <f t="shared" si="207"/>
        <v>0.80864933095324443</v>
      </c>
      <c r="I1046" s="18">
        <f>SUM(I1041:I1045)</f>
        <v>396282509</v>
      </c>
      <c r="J1046" s="21">
        <f>I1046/810342360</f>
        <v>0.48903096834281251</v>
      </c>
    </row>
    <row r="1047" spans="1:13" ht="15.75">
      <c r="A1047" s="1" t="s">
        <v>0</v>
      </c>
      <c r="B1047" s="3"/>
      <c r="J1047" s="3"/>
    </row>
    <row r="1048" spans="1:13" ht="15.75">
      <c r="A1048" s="1" t="s">
        <v>113</v>
      </c>
      <c r="B1048" s="2"/>
      <c r="C1048" s="2" t="s">
        <v>2</v>
      </c>
      <c r="D1048" s="2"/>
      <c r="E1048" s="2"/>
      <c r="F1048" s="2"/>
      <c r="G1048" s="2" t="s">
        <v>3</v>
      </c>
      <c r="H1048" s="2"/>
      <c r="I1048" s="2"/>
      <c r="J1048" s="2"/>
    </row>
    <row r="1049" spans="1:13">
      <c r="B1049" s="4" t="s">
        <v>4</v>
      </c>
      <c r="C1049" s="4" t="s">
        <v>5</v>
      </c>
      <c r="D1049" s="4"/>
      <c r="E1049" s="4" t="s">
        <v>6</v>
      </c>
      <c r="F1049" s="5"/>
      <c r="G1049" s="4" t="s">
        <v>7</v>
      </c>
      <c r="H1049" s="5"/>
      <c r="I1049" s="5" t="s">
        <v>6</v>
      </c>
      <c r="J1049" s="5"/>
    </row>
    <row r="1050" spans="1:13">
      <c r="B1050" s="4" t="s">
        <v>8</v>
      </c>
      <c r="C1050" s="4" t="s">
        <v>8</v>
      </c>
      <c r="D1050" s="4" t="s">
        <v>9</v>
      </c>
      <c r="E1050" s="4" t="s">
        <v>8</v>
      </c>
      <c r="F1050" s="5" t="s">
        <v>9</v>
      </c>
      <c r="G1050" s="5" t="s">
        <v>8</v>
      </c>
      <c r="H1050" s="5" t="s">
        <v>9</v>
      </c>
      <c r="I1050" s="5" t="s">
        <v>8</v>
      </c>
      <c r="J1050" s="5" t="s">
        <v>9</v>
      </c>
    </row>
    <row r="1051" spans="1:13">
      <c r="B1051" s="4"/>
      <c r="C1051" s="4"/>
      <c r="D1051" s="4"/>
      <c r="E1051" s="4"/>
      <c r="F1051" s="4"/>
      <c r="G1051" s="4"/>
      <c r="H1051" s="4"/>
      <c r="I1051" s="4"/>
      <c r="J1051" s="4"/>
      <c r="M1051" s="19"/>
    </row>
    <row r="1052" spans="1:13">
      <c r="A1052" s="3" t="s">
        <v>10</v>
      </c>
      <c r="B1052" s="6">
        <v>556941</v>
      </c>
      <c r="C1052" s="7">
        <v>87782</v>
      </c>
      <c r="D1052" s="8">
        <f t="shared" ref="D1052:D1057" si="208">C1052/B1052</f>
        <v>0.1576145408580083</v>
      </c>
      <c r="E1052" s="11">
        <v>54679691</v>
      </c>
      <c r="F1052" s="10">
        <f>E1052/(E1052+I1052)</f>
        <v>0.17835676446592844</v>
      </c>
      <c r="G1052" s="11">
        <v>469159</v>
      </c>
      <c r="H1052" s="10">
        <f t="shared" ref="H1052:H1057" si="209">G1052/B1052</f>
        <v>0.8423854591419917</v>
      </c>
      <c r="I1052" s="11">
        <v>251895118</v>
      </c>
      <c r="J1052" s="10">
        <f>I1052/(E1052+I1052)</f>
        <v>0.82164323553407159</v>
      </c>
    </row>
    <row r="1053" spans="1:13">
      <c r="A1053" s="3" t="s">
        <v>11</v>
      </c>
      <c r="B1053" s="20">
        <v>48993</v>
      </c>
      <c r="C1053" s="7">
        <v>14252</v>
      </c>
      <c r="D1053" s="8">
        <f t="shared" si="208"/>
        <v>0.2908986998142592</v>
      </c>
      <c r="E1053" s="11">
        <v>12637914</v>
      </c>
      <c r="F1053" s="10">
        <f>E1053/(E1053+I1053)</f>
        <v>0.27364911894366128</v>
      </c>
      <c r="G1053" s="11">
        <v>34641</v>
      </c>
      <c r="H1053" s="10">
        <f t="shared" si="209"/>
        <v>0.7070601922723655</v>
      </c>
      <c r="I1053" s="11">
        <v>33545001</v>
      </c>
      <c r="J1053" s="10">
        <f>I1053/(E1053+I1053)</f>
        <v>0.72635088105633872</v>
      </c>
    </row>
    <row r="1054" spans="1:13">
      <c r="A1054" s="3" t="s">
        <v>12</v>
      </c>
      <c r="B1054" s="20">
        <v>10319</v>
      </c>
      <c r="C1054" s="7">
        <v>4915</v>
      </c>
      <c r="D1054" s="8">
        <f t="shared" si="208"/>
        <v>0.47630584358949513</v>
      </c>
      <c r="E1054" s="11">
        <v>95431092</v>
      </c>
      <c r="F1054" s="10">
        <f>E1054/(E1054+I1054)</f>
        <v>0.65794169525717994</v>
      </c>
      <c r="G1054" s="11">
        <v>5404</v>
      </c>
      <c r="H1054" s="10">
        <f t="shared" si="209"/>
        <v>0.52369415641050487</v>
      </c>
      <c r="I1054" s="11">
        <v>49613815</v>
      </c>
      <c r="J1054" s="10">
        <f>I1054/(E1054+I1054)</f>
        <v>0.34205830474282012</v>
      </c>
    </row>
    <row r="1055" spans="1:13">
      <c r="A1055" s="3" t="s">
        <v>13</v>
      </c>
      <c r="B1055" s="20">
        <v>334</v>
      </c>
      <c r="C1055" s="7">
        <v>297</v>
      </c>
      <c r="D1055" s="8">
        <f t="shared" si="208"/>
        <v>0.8892215568862275</v>
      </c>
      <c r="E1055" s="11">
        <v>168691667</v>
      </c>
      <c r="F1055" s="10">
        <f>E1055/(E1055+I1055)</f>
        <v>0.97349507669064639</v>
      </c>
      <c r="G1055" s="11">
        <v>37</v>
      </c>
      <c r="H1055" s="10">
        <f t="shared" si="209"/>
        <v>0.11077844311377245</v>
      </c>
      <c r="I1055" s="11">
        <v>4592894</v>
      </c>
      <c r="J1055" s="10">
        <f>I1055/(E1055+I1055)</f>
        <v>2.6504923309353567E-2</v>
      </c>
    </row>
    <row r="1056" spans="1:13">
      <c r="A1056" s="3" t="s">
        <v>65</v>
      </c>
      <c r="B1056" s="20">
        <v>4925</v>
      </c>
      <c r="C1056" s="7">
        <v>559</v>
      </c>
      <c r="D1056" s="8">
        <f t="shared" si="208"/>
        <v>0.11350253807106599</v>
      </c>
      <c r="E1056" s="11">
        <v>78297</v>
      </c>
      <c r="F1056" s="10">
        <f>E1056/(E1056+I1056)</f>
        <v>0.11259777183049575</v>
      </c>
      <c r="G1056" s="11">
        <v>4366</v>
      </c>
      <c r="H1056" s="10">
        <f t="shared" si="209"/>
        <v>0.88649746192893397</v>
      </c>
      <c r="I1056" s="11">
        <v>617072</v>
      </c>
      <c r="J1056" s="10">
        <f>I1056/(E1056+I1056)</f>
        <v>0.8874022281695042</v>
      </c>
      <c r="L1056" s="19"/>
      <c r="M1056" s="19"/>
    </row>
    <row r="1057" spans="1:13" ht="15.75">
      <c r="B1057" s="15">
        <f>SUM(B1052:B1056)</f>
        <v>621512</v>
      </c>
      <c r="C1057" s="16">
        <f>SUM(C1052:C1056)</f>
        <v>107805</v>
      </c>
      <c r="D1057" s="17">
        <f t="shared" si="208"/>
        <v>0.17345602337525262</v>
      </c>
      <c r="E1057" s="18">
        <f>SUM(E1052:E1056)</f>
        <v>331518661</v>
      </c>
      <c r="F1057" s="21">
        <f>E1057/674398944</f>
        <v>0.4915764829548725</v>
      </c>
      <c r="G1057" s="18">
        <f>SUM(G1052:G1056)</f>
        <v>513607</v>
      </c>
      <c r="H1057" s="17">
        <f t="shared" si="209"/>
        <v>0.82638307868552818</v>
      </c>
      <c r="I1057" s="18">
        <f>SUM(I1052:I1056)</f>
        <v>340263900</v>
      </c>
      <c r="J1057" s="21">
        <f>I1057/674398944</f>
        <v>0.50454393949940701</v>
      </c>
    </row>
    <row r="1058" spans="1:13" ht="15.75">
      <c r="A1058" s="1" t="s">
        <v>0</v>
      </c>
      <c r="B1058" s="3"/>
      <c r="J1058" s="3"/>
    </row>
    <row r="1059" spans="1:13" ht="15.75">
      <c r="A1059" s="1" t="s">
        <v>114</v>
      </c>
      <c r="B1059" s="2"/>
      <c r="C1059" s="2" t="s">
        <v>2</v>
      </c>
      <c r="D1059" s="2"/>
      <c r="E1059" s="2"/>
      <c r="F1059" s="2"/>
      <c r="G1059" s="2" t="s">
        <v>3</v>
      </c>
      <c r="H1059" s="2"/>
      <c r="I1059" s="2"/>
      <c r="J1059" s="2"/>
    </row>
    <row r="1060" spans="1:13">
      <c r="B1060" s="4" t="s">
        <v>4</v>
      </c>
      <c r="C1060" s="4" t="s">
        <v>5</v>
      </c>
      <c r="D1060" s="4"/>
      <c r="E1060" s="4" t="s">
        <v>6</v>
      </c>
      <c r="F1060" s="5"/>
      <c r="G1060" s="4" t="s">
        <v>7</v>
      </c>
      <c r="H1060" s="5"/>
      <c r="I1060" s="5" t="s">
        <v>6</v>
      </c>
      <c r="J1060" s="5"/>
    </row>
    <row r="1061" spans="1:13">
      <c r="B1061" s="4" t="s">
        <v>8</v>
      </c>
      <c r="C1061" s="4" t="s">
        <v>8</v>
      </c>
      <c r="D1061" s="4" t="s">
        <v>9</v>
      </c>
      <c r="E1061" s="4" t="s">
        <v>8</v>
      </c>
      <c r="F1061" s="5" t="s">
        <v>9</v>
      </c>
      <c r="G1061" s="5" t="s">
        <v>8</v>
      </c>
      <c r="H1061" s="5" t="s">
        <v>9</v>
      </c>
      <c r="I1061" s="5" t="s">
        <v>8</v>
      </c>
      <c r="J1061" s="5" t="s">
        <v>9</v>
      </c>
    </row>
    <row r="1062" spans="1:13">
      <c r="B1062" s="4"/>
      <c r="C1062" s="4"/>
      <c r="D1062" s="4"/>
      <c r="E1062" s="4"/>
      <c r="F1062" s="4"/>
      <c r="G1062" s="4"/>
      <c r="H1062" s="4"/>
      <c r="I1062" s="4"/>
      <c r="J1062" s="4"/>
      <c r="M1062" s="19"/>
    </row>
    <row r="1063" spans="1:13">
      <c r="A1063" s="3" t="s">
        <v>10</v>
      </c>
      <c r="B1063" s="6">
        <v>556354</v>
      </c>
      <c r="C1063" s="7">
        <v>101790</v>
      </c>
      <c r="D1063" s="8">
        <f t="shared" ref="D1063:D1068" si="210">C1063/B1063</f>
        <v>0.18295905125154127</v>
      </c>
      <c r="E1063" s="11">
        <v>72227789</v>
      </c>
      <c r="F1063" s="10">
        <f>E1063/(E1063+I1063)</f>
        <v>0.1878381363872538</v>
      </c>
      <c r="G1063" s="11">
        <f>B1063-C1063</f>
        <v>454564</v>
      </c>
      <c r="H1063" s="10">
        <f t="shared" ref="H1063:H1068" si="211">G1063/B1063</f>
        <v>0.81704094874845867</v>
      </c>
      <c r="I1063" s="11">
        <f>384521431-E1063</f>
        <v>312293642</v>
      </c>
      <c r="J1063" s="10">
        <f>I1063/(E1063+I1063)</f>
        <v>0.81216186361274623</v>
      </c>
    </row>
    <row r="1064" spans="1:13">
      <c r="A1064" s="3" t="s">
        <v>11</v>
      </c>
      <c r="B1064" s="20">
        <v>56574</v>
      </c>
      <c r="C1064" s="7">
        <v>16901</v>
      </c>
      <c r="D1064" s="8">
        <f t="shared" si="210"/>
        <v>0.29874147134726198</v>
      </c>
      <c r="E1064" s="11">
        <v>15420216</v>
      </c>
      <c r="F1064" s="10">
        <f>E1064/(E1064+I1064)</f>
        <v>0.28159302062300323</v>
      </c>
      <c r="G1064" s="11">
        <f>B1064-C1064</f>
        <v>39673</v>
      </c>
      <c r="H1064" s="10">
        <f t="shared" si="211"/>
        <v>0.70125852865273797</v>
      </c>
      <c r="I1064" s="11">
        <v>39340431</v>
      </c>
      <c r="J1064" s="10">
        <f>I1064/(E1064+I1064)</f>
        <v>0.71840697937699682</v>
      </c>
    </row>
    <row r="1065" spans="1:13">
      <c r="A1065" s="3" t="s">
        <v>12</v>
      </c>
      <c r="B1065" s="20">
        <v>12135</v>
      </c>
      <c r="C1065" s="7">
        <v>5845</v>
      </c>
      <c r="D1065" s="8">
        <f t="shared" si="210"/>
        <v>0.48166460651009479</v>
      </c>
      <c r="E1065" s="11">
        <v>115733076</v>
      </c>
      <c r="F1065" s="10">
        <f>E1065/(E1065+I1065)</f>
        <v>0.6533650357592824</v>
      </c>
      <c r="G1065" s="11">
        <v>6290</v>
      </c>
      <c r="H1065" s="10">
        <f t="shared" si="211"/>
        <v>0.51833539348990521</v>
      </c>
      <c r="I1065" s="11">
        <v>61400792</v>
      </c>
      <c r="J1065" s="10">
        <f>I1065/(E1065+I1065)</f>
        <v>0.34663496424071766</v>
      </c>
    </row>
    <row r="1066" spans="1:13">
      <c r="A1066" s="3" t="s">
        <v>13</v>
      </c>
      <c r="B1066" s="20">
        <v>418</v>
      </c>
      <c r="C1066" s="7">
        <v>373</v>
      </c>
      <c r="D1066" s="8">
        <f t="shared" si="210"/>
        <v>0.89234449760765555</v>
      </c>
      <c r="E1066" s="11">
        <v>223203071</v>
      </c>
      <c r="F1066" s="10">
        <f>E1066/(E1066+I1066)</f>
        <v>0.97198494863694163</v>
      </c>
      <c r="G1066" s="11">
        <v>45</v>
      </c>
      <c r="H1066" s="10">
        <f t="shared" si="211"/>
        <v>0.1076555023923445</v>
      </c>
      <c r="I1066" s="11">
        <v>6433274</v>
      </c>
      <c r="J1066" s="10">
        <f>I1066/(E1066+I1066)</f>
        <v>2.8015051363058405E-2</v>
      </c>
    </row>
    <row r="1067" spans="1:13">
      <c r="A1067" s="3" t="s">
        <v>65</v>
      </c>
      <c r="B1067" s="20">
        <v>5268</v>
      </c>
      <c r="C1067" s="7">
        <v>631</v>
      </c>
      <c r="D1067" s="8">
        <f t="shared" si="210"/>
        <v>0.11977980258162491</v>
      </c>
      <c r="E1067" s="11">
        <v>103639</v>
      </c>
      <c r="F1067" s="10">
        <f>E1067/(E1067+I1067)</f>
        <v>0.12678468537790494</v>
      </c>
      <c r="G1067" s="11">
        <f>B1067-C1067</f>
        <v>4637</v>
      </c>
      <c r="H1067" s="10">
        <f t="shared" si="211"/>
        <v>0.88022019741837509</v>
      </c>
      <c r="I1067" s="11">
        <f>817441-E1067</f>
        <v>713802</v>
      </c>
      <c r="J1067" s="10">
        <f>I1067/(E1067+I1067)</f>
        <v>0.87321531462209501</v>
      </c>
      <c r="L1067" s="19"/>
      <c r="M1067" s="19"/>
    </row>
    <row r="1068" spans="1:13" ht="15.75">
      <c r="B1068" s="15">
        <f>SUM(B1063:B1067)</f>
        <v>630749</v>
      </c>
      <c r="C1068" s="16">
        <f>SUM(C1063:C1067)</f>
        <v>125540</v>
      </c>
      <c r="D1068" s="17">
        <f t="shared" si="210"/>
        <v>0.19903321289451112</v>
      </c>
      <c r="E1068" s="18">
        <f>SUM(E1063:E1067)</f>
        <v>426687791</v>
      </c>
      <c r="F1068" s="21">
        <f>E1068/674398944</f>
        <v>0.6326934447275766</v>
      </c>
      <c r="G1068" s="18">
        <f>SUM(G1063:G1067)</f>
        <v>505209</v>
      </c>
      <c r="H1068" s="17">
        <f t="shared" si="211"/>
        <v>0.80096678710548885</v>
      </c>
      <c r="I1068" s="18">
        <f>SUM(I1063:I1067)</f>
        <v>420181941</v>
      </c>
      <c r="J1068" s="21">
        <f>I1068/674398944</f>
        <v>0.62304655832913047</v>
      </c>
    </row>
    <row r="1069" spans="1:13" ht="15.75">
      <c r="A1069" s="1" t="s">
        <v>0</v>
      </c>
      <c r="B1069" s="3"/>
      <c r="J1069" s="3"/>
    </row>
    <row r="1070" spans="1:13" ht="15.75">
      <c r="A1070" s="1" t="s">
        <v>115</v>
      </c>
      <c r="B1070" s="2"/>
      <c r="C1070" s="2" t="s">
        <v>2</v>
      </c>
      <c r="D1070" s="2"/>
      <c r="E1070" s="2"/>
      <c r="F1070" s="2"/>
      <c r="G1070" s="2" t="s">
        <v>3</v>
      </c>
      <c r="H1070" s="2"/>
      <c r="I1070" s="2"/>
      <c r="J1070" s="2"/>
    </row>
    <row r="1071" spans="1:13">
      <c r="B1071" s="4" t="s">
        <v>4</v>
      </c>
      <c r="C1071" s="4" t="s">
        <v>5</v>
      </c>
      <c r="D1071" s="4"/>
      <c r="E1071" s="4" t="s">
        <v>6</v>
      </c>
      <c r="F1071" s="5"/>
      <c r="G1071" s="4" t="s">
        <v>7</v>
      </c>
      <c r="H1071" s="5"/>
      <c r="I1071" s="5" t="s">
        <v>6</v>
      </c>
      <c r="J1071" s="5"/>
    </row>
    <row r="1072" spans="1:13">
      <c r="B1072" s="4" t="s">
        <v>8</v>
      </c>
      <c r="C1072" s="4" t="s">
        <v>8</v>
      </c>
      <c r="D1072" s="4" t="s">
        <v>9</v>
      </c>
      <c r="E1072" s="4" t="s">
        <v>8</v>
      </c>
      <c r="F1072" s="5" t="s">
        <v>9</v>
      </c>
      <c r="G1072" s="5" t="s">
        <v>8</v>
      </c>
      <c r="H1072" s="5" t="s">
        <v>9</v>
      </c>
      <c r="I1072" s="5" t="s">
        <v>8</v>
      </c>
      <c r="J1072" s="5" t="s">
        <v>9</v>
      </c>
    </row>
    <row r="1073" spans="1:13">
      <c r="B1073" s="4"/>
      <c r="C1073" s="4"/>
      <c r="D1073" s="4"/>
      <c r="E1073" s="4"/>
      <c r="F1073" s="4"/>
      <c r="G1073" s="4"/>
      <c r="H1073" s="4"/>
      <c r="I1073" s="4"/>
      <c r="J1073" s="4"/>
      <c r="M1073" s="19"/>
    </row>
    <row r="1074" spans="1:13">
      <c r="A1074" s="3" t="s">
        <v>10</v>
      </c>
      <c r="B1074" s="6">
        <v>555769</v>
      </c>
      <c r="C1074" s="7">
        <v>104429</v>
      </c>
      <c r="D1074" s="8">
        <f t="shared" ref="D1074:D1079" si="212">C1074/B1074</f>
        <v>0.18790000881661265</v>
      </c>
      <c r="E1074" s="11">
        <v>68449908</v>
      </c>
      <c r="F1074" s="10">
        <f>E1074/347086088</f>
        <v>0.19721305568432923</v>
      </c>
      <c r="G1074" s="11">
        <v>451340</v>
      </c>
      <c r="H1074" s="10">
        <f t="shared" ref="H1074:H1079" si="213">G1074/B1074</f>
        <v>0.81209999118338738</v>
      </c>
      <c r="I1074" s="11">
        <v>278636180</v>
      </c>
      <c r="J1074" s="10">
        <f>I1074/347086088</f>
        <v>0.80278694431567077</v>
      </c>
    </row>
    <row r="1075" spans="1:13">
      <c r="A1075" s="3" t="s">
        <v>11</v>
      </c>
      <c r="B1075" s="20">
        <v>56618</v>
      </c>
      <c r="C1075" s="7">
        <v>17331</v>
      </c>
      <c r="D1075" s="8">
        <f t="shared" si="212"/>
        <v>0.30610406584478433</v>
      </c>
      <c r="E1075" s="11">
        <v>15123084</v>
      </c>
      <c r="F1075" s="10">
        <f>E1075/51812782</f>
        <v>0.29187940535599882</v>
      </c>
      <c r="G1075" s="11">
        <v>39287</v>
      </c>
      <c r="H1075" s="10">
        <f t="shared" si="213"/>
        <v>0.69389593415521567</v>
      </c>
      <c r="I1075" s="11">
        <v>36689698</v>
      </c>
      <c r="J1075" s="10">
        <f>I1075/51812782</f>
        <v>0.70812059464400112</v>
      </c>
    </row>
    <row r="1076" spans="1:13">
      <c r="A1076" s="3" t="s">
        <v>12</v>
      </c>
      <c r="B1076" s="20">
        <v>12130</v>
      </c>
      <c r="C1076" s="7">
        <v>5930</v>
      </c>
      <c r="D1076" s="8">
        <f t="shared" si="212"/>
        <v>0.48887056883759272</v>
      </c>
      <c r="E1076" s="11">
        <v>115936851</v>
      </c>
      <c r="F1076" s="10">
        <f>E1076/172295797</f>
        <v>0.67289424941689091</v>
      </c>
      <c r="G1076" s="11">
        <v>6200</v>
      </c>
      <c r="H1076" s="10">
        <f t="shared" si="213"/>
        <v>0.51112943116240728</v>
      </c>
      <c r="I1076" s="11">
        <v>56358946</v>
      </c>
      <c r="J1076" s="10">
        <f>I1076/172295797</f>
        <v>0.32710575058310909</v>
      </c>
    </row>
    <row r="1077" spans="1:13">
      <c r="A1077" s="3" t="s">
        <v>13</v>
      </c>
      <c r="B1077" s="20">
        <v>418</v>
      </c>
      <c r="C1077" s="7">
        <v>374</v>
      </c>
      <c r="D1077" s="8">
        <f t="shared" si="212"/>
        <v>0.89473684210526316</v>
      </c>
      <c r="E1077" s="11">
        <v>219767815</v>
      </c>
      <c r="F1077" s="10">
        <f>E1077/225097655</f>
        <v>0.97632209895745026</v>
      </c>
      <c r="G1077" s="11">
        <v>44</v>
      </c>
      <c r="H1077" s="10">
        <f t="shared" si="213"/>
        <v>0.10526315789473684</v>
      </c>
      <c r="I1077" s="11">
        <v>5329840</v>
      </c>
      <c r="J1077" s="10">
        <f>I1077/225097655</f>
        <v>2.3677901042549732E-2</v>
      </c>
    </row>
    <row r="1078" spans="1:13">
      <c r="A1078" s="3" t="s">
        <v>65</v>
      </c>
      <c r="B1078" s="20">
        <v>5513</v>
      </c>
      <c r="C1078" s="7">
        <v>651</v>
      </c>
      <c r="D1078" s="8">
        <f t="shared" si="212"/>
        <v>0.11808452748050063</v>
      </c>
      <c r="E1078" s="11">
        <v>104019</v>
      </c>
      <c r="F1078" s="10">
        <f>E1078/813368</f>
        <v>0.1278867622035782</v>
      </c>
      <c r="G1078" s="11">
        <v>4862</v>
      </c>
      <c r="H1078" s="10">
        <f t="shared" si="213"/>
        <v>0.88191547251949931</v>
      </c>
      <c r="I1078" s="11">
        <v>709349</v>
      </c>
      <c r="J1078" s="10">
        <f>I1078/813368</f>
        <v>0.8721132377964218</v>
      </c>
      <c r="L1078" s="19"/>
      <c r="M1078" s="19"/>
    </row>
    <row r="1079" spans="1:13" ht="15.75">
      <c r="B1079" s="15">
        <f>SUM(B1074:B1078)</f>
        <v>630448</v>
      </c>
      <c r="C1079" s="16">
        <f>SUM(C1074:C1078)</f>
        <v>128715</v>
      </c>
      <c r="D1079" s="17">
        <f t="shared" si="212"/>
        <v>0.20416434027865898</v>
      </c>
      <c r="E1079" s="18">
        <f>SUM(E1074:E1078)</f>
        <v>419381677</v>
      </c>
      <c r="F1079" s="21">
        <f>E1079/674398944</f>
        <v>0.62185992539157953</v>
      </c>
      <c r="G1079" s="18">
        <f>SUM(G1074:G1078)</f>
        <v>501733</v>
      </c>
      <c r="H1079" s="17">
        <f t="shared" si="213"/>
        <v>0.79583565972134096</v>
      </c>
      <c r="I1079" s="18">
        <f>SUM(I1074:I1078)</f>
        <v>377724013</v>
      </c>
      <c r="J1079" s="21">
        <f>I1079/674398944</f>
        <v>0.56008986425696417</v>
      </c>
    </row>
    <row r="1080" spans="1:13" ht="15.75">
      <c r="A1080" s="1" t="s">
        <v>0</v>
      </c>
      <c r="B1080" s="3"/>
      <c r="J1080" s="3"/>
    </row>
    <row r="1081" spans="1:13" ht="15.75">
      <c r="A1081" s="1" t="s">
        <v>116</v>
      </c>
      <c r="B1081" s="2"/>
      <c r="C1081" s="2" t="s">
        <v>2</v>
      </c>
      <c r="D1081" s="2"/>
      <c r="E1081" s="2"/>
      <c r="F1081" s="2"/>
      <c r="G1081" s="2" t="s">
        <v>3</v>
      </c>
      <c r="H1081" s="2"/>
      <c r="I1081" s="2"/>
      <c r="J1081" s="2"/>
    </row>
    <row r="1082" spans="1:13">
      <c r="B1082" s="4" t="s">
        <v>4</v>
      </c>
      <c r="C1082" s="4" t="s">
        <v>5</v>
      </c>
      <c r="D1082" s="4"/>
      <c r="E1082" s="4" t="s">
        <v>6</v>
      </c>
      <c r="F1082" s="5"/>
      <c r="G1082" s="4" t="s">
        <v>7</v>
      </c>
      <c r="H1082" s="5"/>
      <c r="I1082" s="5" t="s">
        <v>6</v>
      </c>
      <c r="J1082" s="5"/>
    </row>
    <row r="1083" spans="1:13">
      <c r="B1083" s="4" t="s">
        <v>8</v>
      </c>
      <c r="C1083" s="4" t="s">
        <v>8</v>
      </c>
      <c r="D1083" s="4" t="s">
        <v>9</v>
      </c>
      <c r="E1083" s="4" t="s">
        <v>8</v>
      </c>
      <c r="F1083" s="5" t="s">
        <v>9</v>
      </c>
      <c r="G1083" s="5" t="s">
        <v>8</v>
      </c>
      <c r="H1083" s="5" t="s">
        <v>9</v>
      </c>
      <c r="I1083" s="5" t="s">
        <v>8</v>
      </c>
      <c r="J1083" s="5" t="s">
        <v>9</v>
      </c>
    </row>
    <row r="1084" spans="1:13">
      <c r="B1084" s="4"/>
      <c r="C1084" s="4"/>
      <c r="D1084" s="4"/>
      <c r="E1084" s="4"/>
      <c r="F1084" s="4"/>
      <c r="G1084" s="4"/>
      <c r="H1084" s="4"/>
      <c r="I1084" s="4"/>
      <c r="J1084" s="4"/>
      <c r="M1084" s="19"/>
    </row>
    <row r="1085" spans="1:13">
      <c r="A1085" s="3" t="s">
        <v>10</v>
      </c>
      <c r="B1085" s="6">
        <v>554975</v>
      </c>
      <c r="C1085" s="7">
        <v>100381</v>
      </c>
      <c r="D1085" s="8">
        <f t="shared" ref="D1085:D1090" si="214">C1085/B1085</f>
        <v>0.18087481418081897</v>
      </c>
      <c r="E1085" s="11">
        <v>52487872</v>
      </c>
      <c r="F1085" s="10">
        <f>E1085/260046663</f>
        <v>0.20184020588643353</v>
      </c>
      <c r="G1085" s="11">
        <v>454594</v>
      </c>
      <c r="H1085" s="10">
        <f t="shared" ref="H1085:H1090" si="215">G1085/B1085</f>
        <v>0.81912518581918103</v>
      </c>
      <c r="I1085" s="11">
        <v>207558791</v>
      </c>
      <c r="J1085" s="10">
        <f>I1085/260046663</f>
        <v>0.79815979411356641</v>
      </c>
    </row>
    <row r="1086" spans="1:13">
      <c r="A1086" s="3" t="s">
        <v>11</v>
      </c>
      <c r="B1086" s="20">
        <v>51272</v>
      </c>
      <c r="C1086" s="7">
        <v>15712</v>
      </c>
      <c r="D1086" s="8">
        <f t="shared" si="214"/>
        <v>0.30644406303635513</v>
      </c>
      <c r="E1086" s="11">
        <v>12286164</v>
      </c>
      <c r="F1086" s="10">
        <f>E1086/41129879</f>
        <v>0.298716269016984</v>
      </c>
      <c r="G1086" s="11">
        <v>35560</v>
      </c>
      <c r="H1086" s="10">
        <f t="shared" si="215"/>
        <v>0.69355593696364493</v>
      </c>
      <c r="I1086" s="11">
        <v>28843715</v>
      </c>
      <c r="J1086" s="10">
        <f>I1086/41129879</f>
        <v>0.701283730983016</v>
      </c>
    </row>
    <row r="1087" spans="1:13">
      <c r="A1087" s="3" t="s">
        <v>12</v>
      </c>
      <c r="B1087" s="20">
        <v>11048</v>
      </c>
      <c r="C1087" s="7">
        <v>5420</v>
      </c>
      <c r="D1087" s="8">
        <f t="shared" si="214"/>
        <v>0.49058653149891385</v>
      </c>
      <c r="E1087" s="11">
        <v>99004446</v>
      </c>
      <c r="F1087" s="10">
        <f>E1087/146032225</f>
        <v>0.67796300439851542</v>
      </c>
      <c r="G1087" s="11">
        <v>5628</v>
      </c>
      <c r="H1087" s="10">
        <f t="shared" si="215"/>
        <v>0.50941346850108615</v>
      </c>
      <c r="I1087" s="11">
        <v>47027779</v>
      </c>
      <c r="J1087" s="10">
        <f>I1087/146032225</f>
        <v>0.32203699560148452</v>
      </c>
    </row>
    <row r="1088" spans="1:13">
      <c r="A1088" s="3" t="s">
        <v>13</v>
      </c>
      <c r="B1088" s="20">
        <v>378</v>
      </c>
      <c r="C1088" s="7">
        <v>337</v>
      </c>
      <c r="D1088" s="8">
        <f t="shared" si="214"/>
        <v>0.89153439153439151</v>
      </c>
      <c r="E1088" s="11">
        <v>222174096</v>
      </c>
      <c r="F1088" s="10">
        <f>E1088/226454374</f>
        <v>0.98109871792540426</v>
      </c>
      <c r="G1088" s="11">
        <v>41</v>
      </c>
      <c r="H1088" s="10">
        <f t="shared" si="215"/>
        <v>0.10846560846560846</v>
      </c>
      <c r="I1088" s="11">
        <v>4280278</v>
      </c>
      <c r="J1088" s="10">
        <f>I1088/226454374</f>
        <v>1.8901282074595741E-2</v>
      </c>
    </row>
    <row r="1089" spans="1:13">
      <c r="A1089" s="3" t="s">
        <v>65</v>
      </c>
      <c r="B1089" s="20">
        <v>5248</v>
      </c>
      <c r="C1089" s="7">
        <v>636</v>
      </c>
      <c r="D1089" s="8">
        <f t="shared" si="214"/>
        <v>0.1211890243902439</v>
      </c>
      <c r="E1089" s="11">
        <v>86327</v>
      </c>
      <c r="F1089" s="10">
        <f>E1089/735803</f>
        <v>0.11732352273638461</v>
      </c>
      <c r="G1089" s="11">
        <v>4612</v>
      </c>
      <c r="H1089" s="10">
        <f t="shared" si="215"/>
        <v>0.87881097560975607</v>
      </c>
      <c r="I1089" s="11">
        <v>649476</v>
      </c>
      <c r="J1089" s="10">
        <f>I1089/735803</f>
        <v>0.88267647726361542</v>
      </c>
      <c r="L1089" s="19"/>
      <c r="M1089" s="19"/>
    </row>
    <row r="1090" spans="1:13" ht="15.75">
      <c r="B1090" s="15">
        <f>SUM(B1085:B1089)</f>
        <v>622921</v>
      </c>
      <c r="C1090" s="16">
        <f>SUM(C1085:C1089)</f>
        <v>122486</v>
      </c>
      <c r="D1090" s="17">
        <f t="shared" si="214"/>
        <v>0.19663167560573491</v>
      </c>
      <c r="E1090" s="18">
        <f>SUM(E1085:E1089)</f>
        <v>386038905</v>
      </c>
      <c r="F1090" s="21">
        <f>E1090/674398944</f>
        <v>0.57241920147490621</v>
      </c>
      <c r="G1090" s="18">
        <f>SUM(G1085:G1089)</f>
        <v>500435</v>
      </c>
      <c r="H1090" s="17">
        <f t="shared" si="215"/>
        <v>0.80336832439426509</v>
      </c>
      <c r="I1090" s="18">
        <f>SUM(I1085:I1089)</f>
        <v>288360039</v>
      </c>
      <c r="J1090" s="21">
        <f>I1090/674398944</f>
        <v>0.42758079852509379</v>
      </c>
    </row>
    <row r="1091" spans="1:13" ht="15.75">
      <c r="A1091" s="1" t="s">
        <v>0</v>
      </c>
      <c r="B1091" s="3"/>
      <c r="J1091" s="3"/>
    </row>
    <row r="1092" spans="1:13" ht="15.75">
      <c r="A1092" s="1" t="s">
        <v>117</v>
      </c>
      <c r="B1092" s="2"/>
      <c r="C1092" s="2" t="s">
        <v>2</v>
      </c>
      <c r="D1092" s="2"/>
      <c r="E1092" s="2"/>
      <c r="F1092" s="2"/>
      <c r="G1092" s="2" t="s">
        <v>3</v>
      </c>
      <c r="H1092" s="2"/>
      <c r="I1092" s="2"/>
      <c r="J1092" s="2"/>
    </row>
    <row r="1093" spans="1:13">
      <c r="B1093" s="4" t="s">
        <v>4</v>
      </c>
      <c r="C1093" s="4" t="s">
        <v>5</v>
      </c>
      <c r="D1093" s="4"/>
      <c r="E1093" s="4" t="s">
        <v>6</v>
      </c>
      <c r="F1093" s="5"/>
      <c r="G1093" s="4" t="s">
        <v>7</v>
      </c>
      <c r="H1093" s="5"/>
      <c r="I1093" s="5" t="s">
        <v>6</v>
      </c>
      <c r="J1093" s="5"/>
    </row>
    <row r="1094" spans="1:13">
      <c r="B1094" s="4" t="s">
        <v>8</v>
      </c>
      <c r="C1094" s="4" t="s">
        <v>8</v>
      </c>
      <c r="D1094" s="4" t="s">
        <v>9</v>
      </c>
      <c r="E1094" s="4" t="s">
        <v>8</v>
      </c>
      <c r="F1094" s="5" t="s">
        <v>9</v>
      </c>
      <c r="G1094" s="5" t="s">
        <v>8</v>
      </c>
      <c r="H1094" s="5" t="s">
        <v>9</v>
      </c>
      <c r="I1094" s="5" t="s">
        <v>8</v>
      </c>
      <c r="J1094" s="5" t="s">
        <v>9</v>
      </c>
    </row>
    <row r="1095" spans="1:13">
      <c r="B1095" s="4"/>
      <c r="C1095" s="4"/>
      <c r="D1095" s="4"/>
      <c r="E1095" s="4"/>
      <c r="F1095" s="4"/>
      <c r="G1095" s="4"/>
      <c r="H1095" s="4"/>
      <c r="I1095" s="4"/>
      <c r="J1095" s="4"/>
    </row>
    <row r="1096" spans="1:13">
      <c r="A1096" s="3" t="s">
        <v>10</v>
      </c>
      <c r="B1096" s="6">
        <v>554338</v>
      </c>
      <c r="C1096" s="7">
        <v>107130</v>
      </c>
      <c r="D1096" s="8">
        <f t="shared" ref="D1096:D1101" si="216">C1096/B1096</f>
        <v>0.19325754323174671</v>
      </c>
      <c r="E1096" s="11">
        <v>67988989</v>
      </c>
      <c r="F1096" s="10">
        <f>E1096/256257473</f>
        <v>0.26531514653623389</v>
      </c>
      <c r="G1096" s="11">
        <v>447208</v>
      </c>
      <c r="H1096" s="10">
        <f t="shared" ref="H1096:H1101" si="217">G1096/B1096</f>
        <v>0.80674245676825329</v>
      </c>
      <c r="I1096" s="11">
        <v>188268484</v>
      </c>
      <c r="J1096" s="10">
        <f>I1096/256257473</f>
        <v>0.73468485346376611</v>
      </c>
    </row>
    <row r="1097" spans="1:13">
      <c r="A1097" s="3" t="s">
        <v>11</v>
      </c>
      <c r="B1097" s="20">
        <v>51257</v>
      </c>
      <c r="C1097" s="7">
        <v>15833</v>
      </c>
      <c r="D1097" s="8">
        <f t="shared" si="216"/>
        <v>0.30889439491191445</v>
      </c>
      <c r="E1097" s="11">
        <v>12984565</v>
      </c>
      <c r="F1097" s="10">
        <f>E1097/43387226</f>
        <v>0.299271610496601</v>
      </c>
      <c r="G1097" s="11">
        <v>35424</v>
      </c>
      <c r="H1097" s="10">
        <f t="shared" si="217"/>
        <v>0.6911056050880855</v>
      </c>
      <c r="I1097" s="11">
        <v>30402661</v>
      </c>
      <c r="J1097" s="10">
        <f>I1097/43387226</f>
        <v>0.700728389503399</v>
      </c>
    </row>
    <row r="1098" spans="1:13">
      <c r="A1098" s="3" t="s">
        <v>12</v>
      </c>
      <c r="B1098" s="20">
        <v>10931</v>
      </c>
      <c r="C1098" s="7">
        <v>5387</v>
      </c>
      <c r="D1098" s="8">
        <f t="shared" si="216"/>
        <v>0.49281858933308936</v>
      </c>
      <c r="E1098" s="11">
        <v>105743479</v>
      </c>
      <c r="F1098" s="10">
        <f>E1098/158368224</f>
        <v>0.66770641438777512</v>
      </c>
      <c r="G1098" s="11">
        <v>5544</v>
      </c>
      <c r="H1098" s="10">
        <f t="shared" si="217"/>
        <v>0.50718141066691058</v>
      </c>
      <c r="I1098" s="11">
        <v>52624745</v>
      </c>
      <c r="J1098" s="10">
        <f>I1098/158368224</f>
        <v>0.33229358561222483</v>
      </c>
    </row>
    <row r="1099" spans="1:13">
      <c r="A1099" s="3" t="s">
        <v>13</v>
      </c>
      <c r="B1099" s="20">
        <v>359</v>
      </c>
      <c r="C1099" s="7">
        <v>318</v>
      </c>
      <c r="D1099" s="8">
        <f t="shared" si="216"/>
        <v>0.88579387186629521</v>
      </c>
      <c r="E1099" s="11">
        <v>228876462</v>
      </c>
      <c r="F1099" s="10">
        <f>E1099/233693255</f>
        <v>0.97938839527054389</v>
      </c>
      <c r="G1099" s="11">
        <v>41</v>
      </c>
      <c r="H1099" s="10">
        <f t="shared" si="217"/>
        <v>0.11420612813370473</v>
      </c>
      <c r="I1099" s="11">
        <v>4816793</v>
      </c>
      <c r="J1099" s="10">
        <f>I1099/233693255</f>
        <v>2.061160472945614E-2</v>
      </c>
    </row>
    <row r="1100" spans="1:13">
      <c r="A1100" s="3" t="s">
        <v>65</v>
      </c>
      <c r="B1100" s="20">
        <v>5199</v>
      </c>
      <c r="C1100" s="7">
        <v>641</v>
      </c>
      <c r="D1100" s="8">
        <f t="shared" si="216"/>
        <v>0.12329294095018273</v>
      </c>
      <c r="E1100" s="11">
        <v>69008</v>
      </c>
      <c r="F1100" s="10">
        <f>E1100/731768</f>
        <v>9.4303112461873159E-2</v>
      </c>
      <c r="G1100" s="11">
        <v>4558</v>
      </c>
      <c r="H1100" s="10">
        <f t="shared" si="217"/>
        <v>0.87670705904981727</v>
      </c>
      <c r="I1100" s="11">
        <v>662760</v>
      </c>
      <c r="J1100" s="10">
        <f>I1100/731768</f>
        <v>0.90569688753812683</v>
      </c>
      <c r="L1100" s="19"/>
      <c r="M1100" s="19"/>
    </row>
    <row r="1101" spans="1:13" ht="15.75">
      <c r="B1101" s="15">
        <f>SUM(B1096:B1100)</f>
        <v>622084</v>
      </c>
      <c r="C1101" s="16">
        <f>SUM(C1096:C1100)</f>
        <v>129309</v>
      </c>
      <c r="D1101" s="17">
        <f t="shared" si="216"/>
        <v>0.20786421126407367</v>
      </c>
      <c r="E1101" s="18">
        <f>SUM(E1096:E1100)</f>
        <v>415662503</v>
      </c>
      <c r="F1101" s="21">
        <f>E1101/692437946</f>
        <v>0.60028845241823303</v>
      </c>
      <c r="G1101" s="18">
        <f>SUM(G1096:G1100)</f>
        <v>492775</v>
      </c>
      <c r="H1101" s="17">
        <f t="shared" si="217"/>
        <v>0.79213578873592638</v>
      </c>
      <c r="I1101" s="18">
        <f>SUM(I1096:I1100)</f>
        <v>276775443</v>
      </c>
      <c r="J1101" s="21">
        <f>I1101/692437946</f>
        <v>0.39971154758176697</v>
      </c>
    </row>
    <row r="1102" spans="1:13" ht="15.75">
      <c r="A1102" s="1" t="s">
        <v>0</v>
      </c>
      <c r="B1102" s="3"/>
      <c r="J1102" s="3"/>
    </row>
    <row r="1103" spans="1:13" ht="15.75">
      <c r="A1103" s="1" t="s">
        <v>118</v>
      </c>
      <c r="B1103" s="2"/>
      <c r="C1103" s="2" t="s">
        <v>2</v>
      </c>
      <c r="D1103" s="2"/>
      <c r="E1103" s="2"/>
      <c r="F1103" s="2"/>
      <c r="G1103" s="2" t="s">
        <v>3</v>
      </c>
      <c r="H1103" s="2"/>
      <c r="I1103" s="2"/>
      <c r="J1103" s="2"/>
    </row>
    <row r="1104" spans="1:13">
      <c r="B1104" s="4" t="s">
        <v>4</v>
      </c>
      <c r="C1104" s="4" t="s">
        <v>5</v>
      </c>
      <c r="D1104" s="4"/>
      <c r="E1104" s="4" t="s">
        <v>6</v>
      </c>
      <c r="F1104" s="5"/>
      <c r="G1104" s="4" t="s">
        <v>7</v>
      </c>
      <c r="H1104" s="5"/>
      <c r="I1104" s="5" t="s">
        <v>6</v>
      </c>
      <c r="J1104" s="5"/>
    </row>
    <row r="1105" spans="1:13">
      <c r="B1105" s="4" t="s">
        <v>8</v>
      </c>
      <c r="C1105" s="4" t="s">
        <v>8</v>
      </c>
      <c r="D1105" s="4" t="s">
        <v>9</v>
      </c>
      <c r="E1105" s="4" t="s">
        <v>8</v>
      </c>
      <c r="F1105" s="5" t="s">
        <v>9</v>
      </c>
      <c r="G1105" s="5" t="s">
        <v>8</v>
      </c>
      <c r="H1105" s="5" t="s">
        <v>9</v>
      </c>
      <c r="I1105" s="5" t="s">
        <v>8</v>
      </c>
      <c r="J1105" s="5" t="s">
        <v>9</v>
      </c>
    </row>
    <row r="1106" spans="1:13">
      <c r="B1106" s="4"/>
      <c r="C1106" s="4"/>
      <c r="D1106" s="4"/>
      <c r="E1106" s="4"/>
      <c r="F1106" s="4"/>
      <c r="G1106" s="4"/>
      <c r="H1106" s="4"/>
      <c r="I1106" s="4"/>
      <c r="J1106" s="4"/>
    </row>
    <row r="1107" spans="1:13">
      <c r="A1107" s="3" t="s">
        <v>10</v>
      </c>
      <c r="B1107" s="6">
        <v>553904</v>
      </c>
      <c r="C1107" s="7">
        <v>101943</v>
      </c>
      <c r="D1107" s="8">
        <f t="shared" ref="D1107:D1112" si="218">C1107/B1107</f>
        <v>0.18404452757156475</v>
      </c>
      <c r="E1107" s="11">
        <v>62308372</v>
      </c>
      <c r="F1107" s="10">
        <f>E1107/320582815</f>
        <v>0.19435967582978519</v>
      </c>
      <c r="G1107" s="11">
        <v>451961</v>
      </c>
      <c r="H1107" s="10">
        <f t="shared" ref="H1107:H1112" si="219">G1107/B1107</f>
        <v>0.81595547242843525</v>
      </c>
      <c r="I1107" s="11">
        <v>258274443</v>
      </c>
      <c r="J1107" s="10">
        <f>I1107/320582815</f>
        <v>0.80564032417021481</v>
      </c>
    </row>
    <row r="1108" spans="1:13">
      <c r="A1108" s="3" t="s">
        <v>11</v>
      </c>
      <c r="B1108" s="20">
        <v>53606</v>
      </c>
      <c r="C1108" s="7">
        <v>16606</v>
      </c>
      <c r="D1108" s="8">
        <f t="shared" si="218"/>
        <v>0.30977875610939076</v>
      </c>
      <c r="E1108" s="11">
        <v>15814784</v>
      </c>
      <c r="F1108" s="10">
        <f>E1108/53850507</f>
        <v>0.29367938912812835</v>
      </c>
      <c r="G1108" s="11">
        <v>37000</v>
      </c>
      <c r="H1108" s="10">
        <f t="shared" si="219"/>
        <v>0.69022124389060924</v>
      </c>
      <c r="I1108" s="11">
        <v>38035723</v>
      </c>
      <c r="J1108" s="10">
        <f>I1108/53850507</f>
        <v>0.70632061087187159</v>
      </c>
    </row>
    <row r="1109" spans="1:13">
      <c r="A1109" s="3" t="s">
        <v>12</v>
      </c>
      <c r="B1109" s="20">
        <v>11454</v>
      </c>
      <c r="C1109" s="7">
        <v>5780</v>
      </c>
      <c r="D1109" s="8">
        <f t="shared" si="218"/>
        <v>0.50462720447005416</v>
      </c>
      <c r="E1109" s="11">
        <v>125251579</v>
      </c>
      <c r="F1109" s="10">
        <f>E1109/192390720</f>
        <v>0.65102713374117005</v>
      </c>
      <c r="G1109" s="11">
        <v>5674</v>
      </c>
      <c r="H1109" s="10">
        <f t="shared" si="219"/>
        <v>0.4953727955299459</v>
      </c>
      <c r="I1109" s="11">
        <v>67139141</v>
      </c>
      <c r="J1109" s="10">
        <f>I1109/192390720</f>
        <v>0.34897286625882995</v>
      </c>
    </row>
    <row r="1110" spans="1:13">
      <c r="A1110" s="3" t="s">
        <v>13</v>
      </c>
      <c r="B1110" s="20">
        <v>401</v>
      </c>
      <c r="C1110" s="7">
        <v>354</v>
      </c>
      <c r="D1110" s="8">
        <f t="shared" si="218"/>
        <v>0.88279301745635907</v>
      </c>
      <c r="E1110" s="11">
        <v>247224516</v>
      </c>
      <c r="F1110" s="10">
        <f>E1110/252941765</f>
        <v>0.97739697514959623</v>
      </c>
      <c r="G1110" s="11">
        <v>47</v>
      </c>
      <c r="H1110" s="10">
        <f t="shared" si="219"/>
        <v>0.1172069825436409</v>
      </c>
      <c r="I1110" s="11">
        <v>5717249</v>
      </c>
      <c r="J1110" s="10">
        <f>I1110/252941765</f>
        <v>2.2603024850403806E-2</v>
      </c>
    </row>
    <row r="1111" spans="1:13">
      <c r="A1111" s="3" t="s">
        <v>65</v>
      </c>
      <c r="B1111" s="20">
        <v>5419</v>
      </c>
      <c r="C1111" s="7">
        <v>629</v>
      </c>
      <c r="D1111" s="8">
        <f t="shared" si="218"/>
        <v>0.1160730762133235</v>
      </c>
      <c r="E1111" s="11">
        <v>52975</v>
      </c>
      <c r="F1111" s="10">
        <f>E1111/750364</f>
        <v>7.059906925172317E-2</v>
      </c>
      <c r="G1111" s="11">
        <v>4790</v>
      </c>
      <c r="H1111" s="10">
        <f t="shared" si="219"/>
        <v>0.88392692378667648</v>
      </c>
      <c r="I1111" s="11">
        <v>697389</v>
      </c>
      <c r="J1111" s="10">
        <f>I1111/750364</f>
        <v>0.92940093074827679</v>
      </c>
      <c r="L1111" s="19"/>
      <c r="M1111" s="19"/>
    </row>
    <row r="1112" spans="1:13" ht="15.75">
      <c r="B1112" s="15">
        <f>SUM(B1107:B1111)</f>
        <v>624784</v>
      </c>
      <c r="C1112" s="16">
        <f>SUM(C1107:C1111)</f>
        <v>125312</v>
      </c>
      <c r="D1112" s="17">
        <f t="shared" si="218"/>
        <v>0.20056851647929524</v>
      </c>
      <c r="E1112" s="18">
        <f>SUM(E1107:E1111)</f>
        <v>450652226</v>
      </c>
      <c r="F1112" s="21">
        <f>E1112/864278424</f>
        <v>0.52142019687859287</v>
      </c>
      <c r="G1112" s="18">
        <f>SUM(G1107:G1111)</f>
        <v>499472</v>
      </c>
      <c r="H1112" s="17">
        <f t="shared" si="219"/>
        <v>0.79943148352070481</v>
      </c>
      <c r="I1112" s="18">
        <f>SUM(I1107:I1111)</f>
        <v>369863945</v>
      </c>
      <c r="J1112" s="21">
        <f>I1112/864278424</f>
        <v>0.42794536428228597</v>
      </c>
    </row>
    <row r="1113" spans="1:13" ht="15.75">
      <c r="A1113" s="1" t="s">
        <v>0</v>
      </c>
      <c r="B1113" s="3"/>
      <c r="J1113" s="3"/>
    </row>
    <row r="1114" spans="1:13" ht="15.75">
      <c r="A1114" s="1" t="s">
        <v>119</v>
      </c>
      <c r="B1114" s="2"/>
      <c r="C1114" s="2" t="s">
        <v>2</v>
      </c>
      <c r="D1114" s="2"/>
      <c r="E1114" s="2"/>
      <c r="F1114" s="2"/>
      <c r="G1114" s="2" t="s">
        <v>3</v>
      </c>
      <c r="H1114" s="2"/>
      <c r="I1114" s="2"/>
      <c r="J1114" s="2"/>
    </row>
    <row r="1115" spans="1:13">
      <c r="B1115" s="4" t="s">
        <v>4</v>
      </c>
      <c r="C1115" s="4" t="s">
        <v>5</v>
      </c>
      <c r="D1115" s="4"/>
      <c r="E1115" s="4" t="s">
        <v>6</v>
      </c>
      <c r="F1115" s="5"/>
      <c r="G1115" s="4" t="s">
        <v>7</v>
      </c>
      <c r="H1115" s="5"/>
      <c r="I1115" s="5" t="s">
        <v>6</v>
      </c>
      <c r="J1115" s="5"/>
    </row>
    <row r="1116" spans="1:13">
      <c r="B1116" s="4" t="s">
        <v>8</v>
      </c>
      <c r="C1116" s="4" t="s">
        <v>8</v>
      </c>
      <c r="D1116" s="4" t="s">
        <v>9</v>
      </c>
      <c r="E1116" s="4" t="s">
        <v>8</v>
      </c>
      <c r="F1116" s="5" t="s">
        <v>9</v>
      </c>
      <c r="G1116" s="5" t="s">
        <v>8</v>
      </c>
      <c r="H1116" s="5" t="s">
        <v>9</v>
      </c>
      <c r="I1116" s="5" t="s">
        <v>8</v>
      </c>
      <c r="J1116" s="5" t="s">
        <v>9</v>
      </c>
    </row>
    <row r="1117" spans="1:13">
      <c r="B1117" s="4"/>
      <c r="C1117" s="4"/>
      <c r="D1117" s="4"/>
      <c r="E1117" s="4"/>
      <c r="F1117" s="4"/>
      <c r="G1117" s="4"/>
      <c r="H1117" s="4"/>
      <c r="I1117" s="4"/>
      <c r="J1117" s="4"/>
    </row>
    <row r="1118" spans="1:13">
      <c r="A1118" s="3" t="s">
        <v>10</v>
      </c>
      <c r="B1118" s="6">
        <v>553479</v>
      </c>
      <c r="C1118" s="7">
        <v>108014</v>
      </c>
      <c r="D1118" s="8">
        <f t="shared" ref="D1118:D1123" si="220">C1118/B1118</f>
        <v>0.19515464904720867</v>
      </c>
      <c r="E1118" s="11">
        <v>73902955</v>
      </c>
      <c r="F1118" s="10">
        <f>E1118/345740868</f>
        <v>0.21375244247955089</v>
      </c>
      <c r="G1118" s="11">
        <v>445465</v>
      </c>
      <c r="H1118" s="10">
        <f t="shared" ref="H1118:H1123" si="221">G1118/B1118</f>
        <v>0.80484535095279131</v>
      </c>
      <c r="I1118" s="11">
        <v>271837913</v>
      </c>
      <c r="J1118" s="10">
        <f>I1118/345740868</f>
        <v>0.78624755752044906</v>
      </c>
    </row>
    <row r="1119" spans="1:13">
      <c r="A1119" s="3" t="s">
        <v>11</v>
      </c>
      <c r="B1119" s="20">
        <v>56265</v>
      </c>
      <c r="C1119" s="7">
        <v>38909</v>
      </c>
      <c r="D1119" s="8">
        <f t="shared" si="220"/>
        <v>0.69153114724962228</v>
      </c>
      <c r="E1119" s="11">
        <v>40473377</v>
      </c>
      <c r="F1119" s="10">
        <f>E1119/56740147</f>
        <v>0.71331110580309209</v>
      </c>
      <c r="G1119" s="11">
        <v>17356</v>
      </c>
      <c r="H1119" s="10">
        <f t="shared" si="221"/>
        <v>0.30846885275037766</v>
      </c>
      <c r="I1119" s="11">
        <v>16266770</v>
      </c>
      <c r="J1119" s="10">
        <f>I1119/56740147</f>
        <v>0.28668889419690791</v>
      </c>
    </row>
    <row r="1120" spans="1:13">
      <c r="A1120" s="3" t="s">
        <v>12</v>
      </c>
      <c r="B1120" s="20">
        <v>12178</v>
      </c>
      <c r="C1120" s="7">
        <v>6029</v>
      </c>
      <c r="D1120" s="8">
        <f t="shared" si="220"/>
        <v>0.49507308260798161</v>
      </c>
      <c r="E1120" s="11">
        <v>128691304</v>
      </c>
      <c r="F1120" s="10">
        <f>E1120/201016440</f>
        <v>0.64020288091859556</v>
      </c>
      <c r="G1120" s="11">
        <v>6149</v>
      </c>
      <c r="H1120" s="10">
        <f t="shared" si="221"/>
        <v>0.50492691739201845</v>
      </c>
      <c r="I1120" s="11">
        <v>72325136</v>
      </c>
      <c r="J1120" s="10">
        <f>I1120/201016440</f>
        <v>0.35979711908140449</v>
      </c>
    </row>
    <row r="1121" spans="1:12">
      <c r="A1121" s="3" t="s">
        <v>13</v>
      </c>
      <c r="B1121" s="20">
        <v>440</v>
      </c>
      <c r="C1121" s="7">
        <v>390</v>
      </c>
      <c r="D1121" s="8">
        <f t="shared" si="220"/>
        <v>0.88636363636363635</v>
      </c>
      <c r="E1121" s="11">
        <v>254015321</v>
      </c>
      <c r="F1121" s="10">
        <f>E1121/259938983</f>
        <v>0.97721133655431747</v>
      </c>
      <c r="G1121" s="11">
        <v>50</v>
      </c>
      <c r="H1121" s="10">
        <f t="shared" si="221"/>
        <v>0.11363636363636363</v>
      </c>
      <c r="I1121" s="11">
        <v>5923662</v>
      </c>
      <c r="J1121" s="10">
        <f>I1121/259938983</f>
        <v>2.2788663445682558E-2</v>
      </c>
    </row>
    <row r="1122" spans="1:12">
      <c r="A1122" s="3" t="s">
        <v>65</v>
      </c>
      <c r="B1122" s="20">
        <v>5938</v>
      </c>
      <c r="C1122" s="7">
        <v>678</v>
      </c>
      <c r="D1122" s="8">
        <f t="shared" si="220"/>
        <v>0.11417985853822836</v>
      </c>
      <c r="E1122" s="11">
        <v>71062</v>
      </c>
      <c r="F1122" s="10">
        <f>E1122/841986</f>
        <v>8.4398077877779434E-2</v>
      </c>
      <c r="G1122" s="11">
        <v>5260</v>
      </c>
      <c r="H1122" s="10">
        <f t="shared" si="221"/>
        <v>0.88582014146177168</v>
      </c>
      <c r="I1122" s="11">
        <v>770924</v>
      </c>
      <c r="J1122" s="10">
        <f>I1122/841986</f>
        <v>0.91560192212222058</v>
      </c>
      <c r="L1122" s="19"/>
    </row>
    <row r="1123" spans="1:12" ht="15.75">
      <c r="B1123" s="15">
        <f>SUM(B1118:B1122)</f>
        <v>628300</v>
      </c>
      <c r="C1123" s="16">
        <f>SUM(C1118:C1122)</f>
        <v>154020</v>
      </c>
      <c r="D1123" s="17">
        <f t="shared" si="220"/>
        <v>0.24513767308610537</v>
      </c>
      <c r="E1123" s="18">
        <f>SUM(E1118:E1122)</f>
        <v>497154019</v>
      </c>
      <c r="F1123" s="21">
        <f>E1123/864278424</f>
        <v>0.57522437815710181</v>
      </c>
      <c r="G1123" s="18">
        <f>SUM(G1118:G1122)</f>
        <v>474280</v>
      </c>
      <c r="H1123" s="17">
        <f t="shared" si="221"/>
        <v>0.75486232691389465</v>
      </c>
      <c r="I1123" s="18">
        <f>SUM(I1118:I1122)</f>
        <v>367124405</v>
      </c>
      <c r="J1123" s="21">
        <f>I1123/864278424</f>
        <v>0.42477562184289819</v>
      </c>
    </row>
    <row r="1124" spans="1:12" ht="15.75">
      <c r="A1124" s="1" t="s">
        <v>0</v>
      </c>
      <c r="B1124" s="3"/>
      <c r="J1124" s="3"/>
    </row>
    <row r="1125" spans="1:12" ht="15.75">
      <c r="A1125" s="1" t="s">
        <v>120</v>
      </c>
      <c r="B1125" s="2"/>
      <c r="C1125" s="2" t="s">
        <v>2</v>
      </c>
      <c r="D1125" s="2"/>
      <c r="E1125" s="2"/>
      <c r="F1125" s="2"/>
      <c r="G1125" s="2" t="s">
        <v>3</v>
      </c>
      <c r="H1125" s="2"/>
      <c r="I1125" s="2"/>
      <c r="J1125" s="2"/>
    </row>
    <row r="1126" spans="1:12">
      <c r="B1126" s="4" t="s">
        <v>4</v>
      </c>
      <c r="C1126" s="4" t="s">
        <v>5</v>
      </c>
      <c r="D1126" s="4"/>
      <c r="E1126" s="4" t="s">
        <v>6</v>
      </c>
      <c r="F1126" s="5"/>
      <c r="G1126" s="4" t="s">
        <v>7</v>
      </c>
      <c r="H1126" s="5"/>
      <c r="I1126" s="5" t="s">
        <v>6</v>
      </c>
      <c r="J1126" s="5"/>
    </row>
    <row r="1127" spans="1:12">
      <c r="B1127" s="4" t="s">
        <v>8</v>
      </c>
      <c r="C1127" s="4" t="s">
        <v>8</v>
      </c>
      <c r="D1127" s="4" t="s">
        <v>9</v>
      </c>
      <c r="E1127" s="4" t="s">
        <v>8</v>
      </c>
      <c r="F1127" s="5" t="s">
        <v>9</v>
      </c>
      <c r="G1127" s="5" t="s">
        <v>8</v>
      </c>
      <c r="H1127" s="5" t="s">
        <v>9</v>
      </c>
      <c r="I1127" s="5" t="s">
        <v>8</v>
      </c>
      <c r="J1127" s="5" t="s">
        <v>9</v>
      </c>
    </row>
    <row r="1128" spans="1:12">
      <c r="B1128" s="4"/>
      <c r="C1128" s="4"/>
      <c r="D1128" s="4"/>
      <c r="E1128" s="4"/>
      <c r="F1128" s="4"/>
      <c r="G1128" s="4"/>
      <c r="H1128" s="4"/>
      <c r="I1128" s="4"/>
      <c r="J1128" s="4"/>
    </row>
    <row r="1129" spans="1:12">
      <c r="A1129" s="3" t="s">
        <v>10</v>
      </c>
      <c r="B1129" s="6">
        <v>553155</v>
      </c>
      <c r="C1129" s="7">
        <v>101943</v>
      </c>
      <c r="D1129" s="8">
        <f t="shared" ref="D1129:D1134" si="222">C1129/B1129</f>
        <v>0.18429373322124901</v>
      </c>
      <c r="E1129" s="11">
        <v>62308372</v>
      </c>
      <c r="F1129" s="10">
        <f>E1129/293897668</f>
        <v>0.21200703096426066</v>
      </c>
      <c r="G1129" s="11">
        <v>451212</v>
      </c>
      <c r="H1129" s="10">
        <f t="shared" ref="H1129:H1134" si="223">G1129/B1129</f>
        <v>0.81570626677875102</v>
      </c>
      <c r="I1129" s="11">
        <v>231589296</v>
      </c>
      <c r="J1129" s="10">
        <f>I1129/293897668</f>
        <v>0.78799296903573934</v>
      </c>
    </row>
    <row r="1130" spans="1:12">
      <c r="A1130" s="3" t="s">
        <v>11</v>
      </c>
      <c r="B1130" s="20">
        <v>51007</v>
      </c>
      <c r="C1130" s="7">
        <v>15792</v>
      </c>
      <c r="D1130" s="8">
        <f t="shared" si="222"/>
        <v>0.30960456407944009</v>
      </c>
      <c r="E1130" s="11">
        <v>14954719</v>
      </c>
      <c r="F1130" s="10">
        <f>E1130/51107833</f>
        <v>0.29261109544597597</v>
      </c>
      <c r="G1130" s="11">
        <v>35215</v>
      </c>
      <c r="H1130" s="10">
        <f t="shared" si="223"/>
        <v>0.69039543592055996</v>
      </c>
      <c r="I1130" s="11">
        <v>36153114</v>
      </c>
      <c r="J1130" s="10">
        <f>I1130/51107833</f>
        <v>0.70738890455402403</v>
      </c>
    </row>
    <row r="1131" spans="1:12">
      <c r="A1131" s="3" t="s">
        <v>12</v>
      </c>
      <c r="B1131" s="20">
        <v>10866</v>
      </c>
      <c r="C1131" s="7">
        <v>5394</v>
      </c>
      <c r="D1131" s="8">
        <f t="shared" si="222"/>
        <v>0.49641082274986198</v>
      </c>
      <c r="E1131" s="11">
        <v>115138004</v>
      </c>
      <c r="F1131" s="10">
        <f>E1131/177189937</f>
        <v>0.64979990370446372</v>
      </c>
      <c r="G1131" s="11">
        <v>5472</v>
      </c>
      <c r="H1131" s="10">
        <f t="shared" si="223"/>
        <v>0.50358917725013808</v>
      </c>
      <c r="I1131" s="11">
        <v>62051933</v>
      </c>
      <c r="J1131" s="10">
        <f>I1131/177189937</f>
        <v>0.35020009629553622</v>
      </c>
    </row>
    <row r="1132" spans="1:12">
      <c r="A1132" s="3" t="s">
        <v>13</v>
      </c>
      <c r="B1132" s="20">
        <v>359</v>
      </c>
      <c r="C1132" s="7">
        <v>321</v>
      </c>
      <c r="D1132" s="8">
        <f t="shared" si="222"/>
        <v>0.89415041782729809</v>
      </c>
      <c r="E1132" s="11">
        <v>212764262</v>
      </c>
      <c r="F1132" s="10">
        <f>E1132/217445498</f>
        <v>0.97847168121181338</v>
      </c>
      <c r="G1132" s="11">
        <v>38</v>
      </c>
      <c r="H1132" s="10">
        <f t="shared" si="223"/>
        <v>0.10584958217270195</v>
      </c>
      <c r="I1132" s="11">
        <v>4681236</v>
      </c>
      <c r="J1132" s="10">
        <f>I1132/217445498</f>
        <v>2.1528318788186639E-2</v>
      </c>
    </row>
    <row r="1133" spans="1:12">
      <c r="A1133" s="3" t="s">
        <v>65</v>
      </c>
      <c r="B1133" s="20">
        <v>5123</v>
      </c>
      <c r="C1133" s="7">
        <v>629</v>
      </c>
      <c r="D1133" s="8">
        <f t="shared" si="222"/>
        <v>0.12277962131563537</v>
      </c>
      <c r="E1133" s="11">
        <v>52975</v>
      </c>
      <c r="F1133" s="10">
        <f>E1133/711063</f>
        <v>7.4501134217361889E-2</v>
      </c>
      <c r="G1133" s="11">
        <v>4494</v>
      </c>
      <c r="H1133" s="10">
        <f t="shared" si="223"/>
        <v>0.87722037868436464</v>
      </c>
      <c r="I1133" s="11">
        <v>658088</v>
      </c>
      <c r="J1133" s="10">
        <f>I1133/711063</f>
        <v>0.92549886578263807</v>
      </c>
      <c r="L1133" s="19"/>
    </row>
    <row r="1134" spans="1:12" ht="15.75">
      <c r="B1134" s="15">
        <f>SUM(B1129:B1133)</f>
        <v>620510</v>
      </c>
      <c r="C1134" s="16">
        <f>SUM(C1129:C1133)</f>
        <v>124079</v>
      </c>
      <c r="D1134" s="17">
        <f t="shared" si="222"/>
        <v>0.19996293371581442</v>
      </c>
      <c r="E1134" s="18">
        <f>SUM(E1129:E1133)</f>
        <v>405218332</v>
      </c>
      <c r="F1134" s="21">
        <f>E1134/740351999</f>
        <v>0.54733198876660294</v>
      </c>
      <c r="G1134" s="18">
        <f>SUM(G1129:G1133)</f>
        <v>496431</v>
      </c>
      <c r="H1134" s="17">
        <f t="shared" si="223"/>
        <v>0.80003706628418558</v>
      </c>
      <c r="I1134" s="18">
        <f>SUM(I1129:I1133)</f>
        <v>335133667</v>
      </c>
      <c r="J1134" s="21">
        <f>I1134/740351999</f>
        <v>0.45266801123339712</v>
      </c>
    </row>
    <row r="1135" spans="1:12" ht="15.75">
      <c r="A1135" s="1" t="s">
        <v>0</v>
      </c>
      <c r="B1135" s="3"/>
      <c r="J1135" s="3"/>
    </row>
    <row r="1136" spans="1:12" ht="15.75">
      <c r="A1136" s="1" t="s">
        <v>121</v>
      </c>
      <c r="B1136" s="2"/>
      <c r="C1136" s="2" t="s">
        <v>2</v>
      </c>
      <c r="D1136" s="2"/>
      <c r="E1136" s="2"/>
      <c r="F1136" s="2"/>
      <c r="G1136" s="2" t="s">
        <v>3</v>
      </c>
      <c r="H1136" s="2"/>
      <c r="I1136" s="2"/>
      <c r="J1136" s="2"/>
    </row>
    <row r="1137" spans="1:12">
      <c r="B1137" s="4" t="s">
        <v>4</v>
      </c>
      <c r="C1137" s="4" t="s">
        <v>5</v>
      </c>
      <c r="D1137" s="4"/>
      <c r="E1137" s="4" t="s">
        <v>6</v>
      </c>
      <c r="F1137" s="5"/>
      <c r="G1137" s="4" t="s">
        <v>7</v>
      </c>
      <c r="H1137" s="5"/>
      <c r="I1137" s="5" t="s">
        <v>6</v>
      </c>
      <c r="J1137" s="5"/>
    </row>
    <row r="1138" spans="1:12">
      <c r="B1138" s="4" t="s">
        <v>8</v>
      </c>
      <c r="C1138" s="4" t="s">
        <v>8</v>
      </c>
      <c r="D1138" s="4" t="s">
        <v>9</v>
      </c>
      <c r="E1138" s="4" t="s">
        <v>8</v>
      </c>
      <c r="F1138" s="5" t="s">
        <v>9</v>
      </c>
      <c r="G1138" s="5" t="s">
        <v>8</v>
      </c>
      <c r="H1138" s="5" t="s">
        <v>9</v>
      </c>
      <c r="I1138" s="5" t="s">
        <v>8</v>
      </c>
      <c r="J1138" s="5" t="s">
        <v>9</v>
      </c>
    </row>
    <row r="1139" spans="1:12">
      <c r="B1139" s="4"/>
      <c r="C1139" s="4"/>
      <c r="D1139" s="4"/>
      <c r="E1139" s="4"/>
      <c r="F1139" s="4"/>
      <c r="G1139" s="4"/>
      <c r="H1139" s="4"/>
      <c r="I1139" s="4"/>
      <c r="J1139" s="4"/>
    </row>
    <row r="1140" spans="1:12">
      <c r="A1140" s="3" t="s">
        <v>10</v>
      </c>
      <c r="B1140" s="6">
        <v>552859</v>
      </c>
      <c r="C1140" s="7">
        <v>103149</v>
      </c>
      <c r="D1140" s="8">
        <f t="shared" ref="D1140:D1145" si="224">C1140/B1140</f>
        <v>0.18657379187098339</v>
      </c>
      <c r="E1140" s="11">
        <v>58411308</v>
      </c>
      <c r="F1140" s="10">
        <f>E1140/262312415</f>
        <v>0.22267839667443876</v>
      </c>
      <c r="G1140" s="11">
        <v>449710</v>
      </c>
      <c r="H1140" s="10">
        <f t="shared" ref="H1140:H1145" si="225">G1140/B1140</f>
        <v>0.81342620812901667</v>
      </c>
      <c r="I1140" s="11">
        <v>203901107</v>
      </c>
      <c r="J1140" s="10">
        <f>I1140/262312415</f>
        <v>0.77732160332556122</v>
      </c>
    </row>
    <row r="1141" spans="1:12">
      <c r="A1141" s="3" t="s">
        <v>11</v>
      </c>
      <c r="B1141" s="20">
        <v>53689</v>
      </c>
      <c r="C1141" s="7">
        <v>16693</v>
      </c>
      <c r="D1141" s="8">
        <f t="shared" si="224"/>
        <v>0.31092030024772299</v>
      </c>
      <c r="E1141" s="11">
        <v>13800937</v>
      </c>
      <c r="F1141" s="10">
        <f>E1141/45809261</f>
        <v>0.30126958389483732</v>
      </c>
      <c r="G1141" s="11">
        <v>36996</v>
      </c>
      <c r="H1141" s="10">
        <f t="shared" si="225"/>
        <v>0.68907969975227701</v>
      </c>
      <c r="I1141" s="11">
        <v>32008324</v>
      </c>
      <c r="J1141" s="10">
        <f>I1141/45809261</f>
        <v>0.69873041610516262</v>
      </c>
    </row>
    <row r="1142" spans="1:12">
      <c r="A1142" s="3" t="s">
        <v>12</v>
      </c>
      <c r="B1142" s="20">
        <v>11545</v>
      </c>
      <c r="C1142" s="7">
        <v>5726</v>
      </c>
      <c r="D1142" s="8">
        <f t="shared" si="224"/>
        <v>0.4959722823733218</v>
      </c>
      <c r="E1142" s="11">
        <v>110769318</v>
      </c>
      <c r="F1142" s="10">
        <f>E1142/166412364</f>
        <v>0.66563153925269636</v>
      </c>
      <c r="G1142" s="11">
        <v>5819</v>
      </c>
      <c r="H1142" s="10">
        <f t="shared" si="225"/>
        <v>0.5040277176266782</v>
      </c>
      <c r="I1142" s="11">
        <v>55643046</v>
      </c>
      <c r="J1142" s="10">
        <f>I1142/166412364</f>
        <v>0.33436846074730359</v>
      </c>
    </row>
    <row r="1143" spans="1:12">
      <c r="A1143" s="3" t="s">
        <v>13</v>
      </c>
      <c r="B1143" s="20">
        <v>413</v>
      </c>
      <c r="C1143" s="7">
        <v>370</v>
      </c>
      <c r="D1143" s="8">
        <f t="shared" si="224"/>
        <v>0.89588377723970947</v>
      </c>
      <c r="E1143" s="11">
        <v>236804250</v>
      </c>
      <c r="F1143" s="10">
        <f>E1143/241341206</f>
        <v>0.98120107181365457</v>
      </c>
      <c r="G1143" s="11">
        <v>43</v>
      </c>
      <c r="H1143" s="10">
        <f t="shared" si="225"/>
        <v>0.10411622276029056</v>
      </c>
      <c r="I1143" s="11">
        <v>4536956</v>
      </c>
      <c r="J1143" s="10">
        <f>I1143/241341206</f>
        <v>1.8798928186345435E-2</v>
      </c>
    </row>
    <row r="1144" spans="1:12">
      <c r="A1144" s="3" t="s">
        <v>65</v>
      </c>
      <c r="B1144" s="20">
        <v>5652</v>
      </c>
      <c r="C1144" s="7">
        <v>626</v>
      </c>
      <c r="D1144" s="8">
        <f t="shared" si="224"/>
        <v>0.11075725406935598</v>
      </c>
      <c r="E1144" s="11">
        <v>68801</v>
      </c>
      <c r="F1144" s="10">
        <f>E1144/803904</f>
        <v>8.5583602022131999E-2</v>
      </c>
      <c r="G1144" s="11">
        <v>5026</v>
      </c>
      <c r="H1144" s="10">
        <f t="shared" si="225"/>
        <v>0.88924274593064401</v>
      </c>
      <c r="I1144" s="11">
        <v>735103</v>
      </c>
      <c r="J1144" s="10">
        <f>I1144/803904</f>
        <v>0.914416397977868</v>
      </c>
      <c r="L1144" s="19"/>
    </row>
    <row r="1145" spans="1:12" ht="15.75">
      <c r="B1145" s="15">
        <f>SUM(B1140:B1144)</f>
        <v>624158</v>
      </c>
      <c r="C1145" s="16">
        <f>SUM(C1140:C1144)</f>
        <v>126564</v>
      </c>
      <c r="D1145" s="17">
        <f t="shared" si="224"/>
        <v>0.20277557926037959</v>
      </c>
      <c r="E1145" s="18">
        <f>SUM(E1140:E1144)</f>
        <v>419854614</v>
      </c>
      <c r="F1145" s="21">
        <f>E1145/716679150</f>
        <v>0.58583344304072471</v>
      </c>
      <c r="G1145" s="18">
        <f>SUM(G1140:G1144)</f>
        <v>497594</v>
      </c>
      <c r="H1145" s="17">
        <f t="shared" si="225"/>
        <v>0.79722442073962041</v>
      </c>
      <c r="I1145" s="18">
        <f>SUM(I1140:I1144)</f>
        <v>296824536</v>
      </c>
      <c r="J1145" s="21">
        <f>I1145/716679150</f>
        <v>0.41416655695927529</v>
      </c>
    </row>
    <row r="1146" spans="1:12" ht="15.75">
      <c r="A1146" s="1" t="s">
        <v>0</v>
      </c>
      <c r="B1146" s="3"/>
      <c r="J1146" s="3"/>
    </row>
    <row r="1147" spans="1:12" ht="15.75">
      <c r="A1147" s="1" t="s">
        <v>122</v>
      </c>
      <c r="B1147" s="2"/>
      <c r="C1147" s="2" t="s">
        <v>2</v>
      </c>
      <c r="D1147" s="2"/>
      <c r="E1147" s="2"/>
      <c r="F1147" s="2"/>
      <c r="G1147" s="2" t="s">
        <v>3</v>
      </c>
      <c r="H1147" s="2"/>
      <c r="I1147" s="2"/>
      <c r="J1147" s="2"/>
    </row>
    <row r="1148" spans="1:12">
      <c r="B1148" s="4" t="s">
        <v>4</v>
      </c>
      <c r="C1148" s="4" t="s">
        <v>5</v>
      </c>
      <c r="D1148" s="4"/>
      <c r="E1148" s="4" t="s">
        <v>6</v>
      </c>
      <c r="F1148" s="5"/>
      <c r="G1148" s="4" t="s">
        <v>7</v>
      </c>
      <c r="H1148" s="5"/>
      <c r="I1148" s="5" t="s">
        <v>6</v>
      </c>
      <c r="J1148" s="5"/>
    </row>
    <row r="1149" spans="1:12">
      <c r="B1149" s="4" t="s">
        <v>8</v>
      </c>
      <c r="C1149" s="4" t="s">
        <v>8</v>
      </c>
      <c r="D1149" s="4" t="s">
        <v>9</v>
      </c>
      <c r="E1149" s="4" t="s">
        <v>8</v>
      </c>
      <c r="F1149" s="5" t="s">
        <v>9</v>
      </c>
      <c r="G1149" s="5" t="s">
        <v>8</v>
      </c>
      <c r="H1149" s="5" t="s">
        <v>9</v>
      </c>
      <c r="I1149" s="5" t="s">
        <v>8</v>
      </c>
      <c r="J1149" s="5" t="s">
        <v>9</v>
      </c>
    </row>
    <row r="1150" spans="1:12">
      <c r="B1150" s="4"/>
      <c r="C1150" s="4"/>
      <c r="D1150" s="4"/>
      <c r="E1150" s="4"/>
      <c r="F1150" s="4"/>
      <c r="G1150" s="4"/>
      <c r="H1150" s="4"/>
      <c r="I1150" s="4"/>
      <c r="J1150" s="4"/>
    </row>
    <row r="1151" spans="1:12">
      <c r="A1151" s="3" t="s">
        <v>10</v>
      </c>
      <c r="B1151" s="6">
        <v>552785</v>
      </c>
      <c r="C1151" s="7">
        <v>108271</v>
      </c>
      <c r="D1151" s="8">
        <f t="shared" ref="D1151:D1156" si="226">C1151/B1151</f>
        <v>0.19586457664372225</v>
      </c>
      <c r="E1151" s="11">
        <v>54491616</v>
      </c>
      <c r="F1151" s="10">
        <f>E1151/262951868</f>
        <v>0.20723038179747785</v>
      </c>
      <c r="G1151" s="11">
        <v>444514</v>
      </c>
      <c r="H1151" s="10">
        <f t="shared" ref="H1151:H1156" si="227">G1151/B1151</f>
        <v>0.80413542335627775</v>
      </c>
      <c r="I1151" s="11">
        <v>208460252</v>
      </c>
      <c r="J1151" s="10">
        <f>I1151/262951868</f>
        <v>0.79276961820252212</v>
      </c>
    </row>
    <row r="1152" spans="1:12">
      <c r="A1152" s="3" t="s">
        <v>11</v>
      </c>
      <c r="B1152" s="20">
        <v>55695</v>
      </c>
      <c r="C1152" s="7">
        <v>17407</v>
      </c>
      <c r="D1152" s="8">
        <f t="shared" si="226"/>
        <v>0.31254152078283509</v>
      </c>
      <c r="E1152" s="11">
        <v>13180199</v>
      </c>
      <c r="F1152" s="10">
        <f>E1152/43430528</f>
        <v>0.30347775187075782</v>
      </c>
      <c r="G1152" s="11">
        <v>38288</v>
      </c>
      <c r="H1152" s="10">
        <f t="shared" si="227"/>
        <v>0.68745847921716496</v>
      </c>
      <c r="I1152" s="11">
        <v>30250329</v>
      </c>
      <c r="J1152" s="10">
        <f>I1152/43430528</f>
        <v>0.69652224812924213</v>
      </c>
    </row>
    <row r="1153" spans="1:12">
      <c r="A1153" s="3" t="s">
        <v>12</v>
      </c>
      <c r="B1153" s="20">
        <v>12117</v>
      </c>
      <c r="C1153" s="7">
        <v>6029</v>
      </c>
      <c r="D1153" s="8">
        <f t="shared" si="226"/>
        <v>0.49756540397788229</v>
      </c>
      <c r="E1153" s="11">
        <v>103759762</v>
      </c>
      <c r="F1153" s="10">
        <f>E1153/153644576</f>
        <v>0.67532329940498514</v>
      </c>
      <c r="G1153" s="11">
        <v>6088</v>
      </c>
      <c r="H1153" s="10">
        <f t="shared" si="227"/>
        <v>0.50243459602211771</v>
      </c>
      <c r="I1153" s="11">
        <v>49884814</v>
      </c>
      <c r="J1153" s="10">
        <f>I1153/153644576</f>
        <v>0.3246767005950148</v>
      </c>
    </row>
    <row r="1154" spans="1:12">
      <c r="A1154" s="3" t="s">
        <v>13</v>
      </c>
      <c r="B1154" s="20">
        <v>428</v>
      </c>
      <c r="C1154" s="7">
        <v>383</v>
      </c>
      <c r="D1154" s="8">
        <f t="shared" si="226"/>
        <v>0.89485981308411211</v>
      </c>
      <c r="E1154" s="11">
        <v>220253863</v>
      </c>
      <c r="F1154" s="10">
        <f>E1154/228871107</f>
        <v>0.96234892157007834</v>
      </c>
      <c r="G1154" s="11">
        <v>45</v>
      </c>
      <c r="H1154" s="10">
        <f t="shared" si="227"/>
        <v>0.10514018691588785</v>
      </c>
      <c r="I1154" s="11">
        <v>8617244</v>
      </c>
      <c r="J1154" s="10">
        <f>I1154/228871107</f>
        <v>3.7651078429921693E-2</v>
      </c>
    </row>
    <row r="1155" spans="1:12">
      <c r="A1155" s="3" t="s">
        <v>65</v>
      </c>
      <c r="B1155" s="20">
        <v>5838</v>
      </c>
      <c r="C1155" s="7">
        <v>677</v>
      </c>
      <c r="D1155" s="8">
        <f t="shared" si="226"/>
        <v>0.11596437136005482</v>
      </c>
      <c r="E1155" s="11">
        <v>68951</v>
      </c>
      <c r="F1155" s="10">
        <f>E1155/814001</f>
        <v>8.4706284144614077E-2</v>
      </c>
      <c r="G1155" s="11">
        <v>5161</v>
      </c>
      <c r="H1155" s="10">
        <f t="shared" si="227"/>
        <v>0.88403562863994523</v>
      </c>
      <c r="I1155" s="11">
        <v>745050</v>
      </c>
      <c r="J1155" s="10">
        <f>I1155/814001</f>
        <v>0.91529371585538588</v>
      </c>
      <c r="L1155" s="19"/>
    </row>
    <row r="1156" spans="1:12" ht="15.75">
      <c r="B1156" s="15">
        <f>SUM(B1151:B1155)</f>
        <v>626863</v>
      </c>
      <c r="C1156" s="16">
        <f>SUM(C1151:C1155)</f>
        <v>132767</v>
      </c>
      <c r="D1156" s="17">
        <f t="shared" si="226"/>
        <v>0.21179587884434078</v>
      </c>
      <c r="E1156" s="18">
        <f>SUM(E1151:E1155)</f>
        <v>391754391</v>
      </c>
      <c r="F1156" s="21">
        <f>E1156/689712080</f>
        <v>0.56799699810970394</v>
      </c>
      <c r="G1156" s="18">
        <f>SUM(G1151:G1155)</f>
        <v>494096</v>
      </c>
      <c r="H1156" s="17">
        <f t="shared" si="227"/>
        <v>0.78820412115565919</v>
      </c>
      <c r="I1156" s="18">
        <f>SUM(I1151:I1155)</f>
        <v>297957689</v>
      </c>
      <c r="J1156" s="21">
        <f>I1156/689712080</f>
        <v>0.432003001890296</v>
      </c>
    </row>
    <row r="1157" spans="1:12" ht="15.75">
      <c r="A1157" s="1" t="s">
        <v>0</v>
      </c>
      <c r="B1157" s="3"/>
      <c r="J1157" s="3"/>
    </row>
    <row r="1158" spans="1:12" ht="15.75">
      <c r="A1158" s="1" t="s">
        <v>123</v>
      </c>
      <c r="B1158" s="2"/>
      <c r="C1158" s="2" t="s">
        <v>2</v>
      </c>
      <c r="D1158" s="2"/>
      <c r="E1158" s="2"/>
      <c r="F1158" s="2"/>
      <c r="G1158" s="2" t="s">
        <v>3</v>
      </c>
      <c r="H1158" s="2"/>
      <c r="I1158" s="2"/>
      <c r="J1158" s="2"/>
    </row>
    <row r="1159" spans="1:12">
      <c r="B1159" s="4" t="s">
        <v>4</v>
      </c>
      <c r="C1159" s="4" t="s">
        <v>5</v>
      </c>
      <c r="D1159" s="4"/>
      <c r="E1159" s="4" t="s">
        <v>6</v>
      </c>
      <c r="F1159" s="5"/>
      <c r="G1159" s="4" t="s">
        <v>7</v>
      </c>
      <c r="H1159" s="5"/>
      <c r="I1159" s="5" t="s">
        <v>6</v>
      </c>
      <c r="J1159" s="5"/>
    </row>
    <row r="1160" spans="1:12">
      <c r="B1160" s="4" t="s">
        <v>8</v>
      </c>
      <c r="C1160" s="4" t="s">
        <v>8</v>
      </c>
      <c r="D1160" s="4" t="s">
        <v>9</v>
      </c>
      <c r="E1160" s="4" t="s">
        <v>8</v>
      </c>
      <c r="F1160" s="5" t="s">
        <v>9</v>
      </c>
      <c r="G1160" s="5" t="s">
        <v>8</v>
      </c>
      <c r="H1160" s="5" t="s">
        <v>9</v>
      </c>
      <c r="I1160" s="5" t="s">
        <v>8</v>
      </c>
      <c r="J1160" s="5" t="s">
        <v>9</v>
      </c>
    </row>
    <row r="1161" spans="1:12"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1:12">
      <c r="A1162" s="3" t="s">
        <v>10</v>
      </c>
      <c r="B1162" s="6">
        <v>553447</v>
      </c>
      <c r="C1162" s="7">
        <v>103149</v>
      </c>
      <c r="D1162" s="8">
        <f t="shared" ref="D1162:D1167" si="228">C1162/B1162</f>
        <v>0.18637556983776224</v>
      </c>
      <c r="E1162" s="11">
        <v>58411308</v>
      </c>
      <c r="F1162" s="10">
        <f>E1162/285919679</f>
        <v>0.2042927167667952</v>
      </c>
      <c r="G1162" s="11">
        <v>450298</v>
      </c>
      <c r="H1162" s="10">
        <f t="shared" ref="H1162:H1167" si="229">G1162/B1162</f>
        <v>0.81362443016223773</v>
      </c>
      <c r="I1162" s="11">
        <v>227508371</v>
      </c>
      <c r="J1162" s="10">
        <f>I1162/285919679</f>
        <v>0.79570728323320483</v>
      </c>
    </row>
    <row r="1163" spans="1:12">
      <c r="A1163" s="3" t="s">
        <v>11</v>
      </c>
      <c r="B1163" s="20">
        <v>50881</v>
      </c>
      <c r="C1163" s="7">
        <v>15951</v>
      </c>
      <c r="D1163" s="8">
        <f t="shared" si="228"/>
        <v>0.31349619700870657</v>
      </c>
      <c r="E1163" s="11">
        <v>13734852</v>
      </c>
      <c r="F1163" s="10">
        <f>E1163/45197334</f>
        <v>0.30388633099465556</v>
      </c>
      <c r="G1163" s="11">
        <v>34930</v>
      </c>
      <c r="H1163" s="10">
        <f t="shared" si="229"/>
        <v>0.68650380299129343</v>
      </c>
      <c r="I1163" s="11">
        <v>31462482</v>
      </c>
      <c r="J1163" s="10">
        <f>I1163/45197334</f>
        <v>0.69611366900534444</v>
      </c>
    </row>
    <row r="1164" spans="1:12">
      <c r="A1164" s="3" t="s">
        <v>12</v>
      </c>
      <c r="B1164" s="20">
        <v>10953</v>
      </c>
      <c r="C1164" s="7">
        <v>5402</v>
      </c>
      <c r="D1164" s="8">
        <f t="shared" si="228"/>
        <v>0.49319821053592622</v>
      </c>
      <c r="E1164" s="11">
        <v>102272631</v>
      </c>
      <c r="F1164" s="10">
        <f>E1164/151817156</f>
        <v>0.67365661230012763</v>
      </c>
      <c r="G1164" s="11">
        <v>5551</v>
      </c>
      <c r="H1164" s="10">
        <f t="shared" si="229"/>
        <v>0.50680178946407373</v>
      </c>
      <c r="I1164" s="11">
        <v>49544525</v>
      </c>
      <c r="J1164" s="10">
        <f>I1164/151817156</f>
        <v>0.32634338769987231</v>
      </c>
    </row>
    <row r="1165" spans="1:12">
      <c r="A1165" s="3" t="s">
        <v>13</v>
      </c>
      <c r="B1165" s="20">
        <v>355</v>
      </c>
      <c r="C1165" s="7">
        <v>317</v>
      </c>
      <c r="D1165" s="8">
        <f t="shared" si="228"/>
        <v>0.89295774647887327</v>
      </c>
      <c r="E1165" s="11">
        <v>191674661</v>
      </c>
      <c r="F1165" s="10">
        <f>E1165/231473646</f>
        <v>0.82806256484161489</v>
      </c>
      <c r="G1165" s="11">
        <v>38</v>
      </c>
      <c r="H1165" s="10">
        <f t="shared" si="229"/>
        <v>0.10704225352112676</v>
      </c>
      <c r="I1165" s="11">
        <v>8472637</v>
      </c>
      <c r="J1165" s="10">
        <f>I1165/231473676</f>
        <v>3.6603026082326524E-2</v>
      </c>
    </row>
    <row r="1166" spans="1:12">
      <c r="A1166" s="3" t="s">
        <v>65</v>
      </c>
      <c r="B1166" s="20">
        <v>5152</v>
      </c>
      <c r="C1166" s="7">
        <v>626</v>
      </c>
      <c r="D1166" s="8">
        <f t="shared" si="228"/>
        <v>0.12150621118012422</v>
      </c>
      <c r="E1166" s="11">
        <v>68801</v>
      </c>
      <c r="F1166" s="10">
        <f>E1166/715596</f>
        <v>9.6145031554117133E-2</v>
      </c>
      <c r="G1166" s="11">
        <v>4526</v>
      </c>
      <c r="H1166" s="10">
        <f t="shared" si="229"/>
        <v>0.87849378881987583</v>
      </c>
      <c r="I1166" s="11">
        <v>646795</v>
      </c>
      <c r="J1166" s="10">
        <f>I1166/715596</f>
        <v>0.90385496844588287</v>
      </c>
    </row>
    <row r="1167" spans="1:12" ht="15.75">
      <c r="B1167" s="15">
        <f>SUM(B1162:B1166)</f>
        <v>620788</v>
      </c>
      <c r="C1167" s="16">
        <f>SUM(C1162:C1166)</f>
        <v>125445</v>
      </c>
      <c r="D1167" s="17">
        <f t="shared" si="228"/>
        <v>0.20207381585984266</v>
      </c>
      <c r="E1167" s="18">
        <f>SUM(E1162:E1166)</f>
        <v>366162253</v>
      </c>
      <c r="F1167" s="21">
        <f>E1167/683797063</f>
        <v>0.53548380479077895</v>
      </c>
      <c r="G1167" s="18">
        <f>SUM(G1162:G1166)</f>
        <v>495343</v>
      </c>
      <c r="H1167" s="17">
        <f t="shared" si="229"/>
        <v>0.79792618414015737</v>
      </c>
      <c r="I1167" s="18">
        <f>SUM(I1162:I1166)</f>
        <v>317634810</v>
      </c>
      <c r="J1167" s="21">
        <f>I1167/683797063</f>
        <v>0.46451619520922099</v>
      </c>
    </row>
    <row r="1168" spans="1:12" ht="15.75">
      <c r="A1168" s="1" t="s">
        <v>0</v>
      </c>
      <c r="B1168" s="3"/>
      <c r="J1168" s="3"/>
    </row>
    <row r="1169" spans="1:13" ht="15.75">
      <c r="A1169" s="1" t="s">
        <v>124</v>
      </c>
      <c r="B1169" s="2"/>
      <c r="C1169" s="2" t="s">
        <v>2</v>
      </c>
      <c r="D1169" s="2"/>
      <c r="E1169" s="2"/>
      <c r="F1169" s="2"/>
      <c r="G1169" s="2" t="s">
        <v>3</v>
      </c>
      <c r="H1169" s="2"/>
      <c r="I1169" s="2"/>
      <c r="J1169" s="2"/>
    </row>
    <row r="1170" spans="1:13">
      <c r="B1170" s="4" t="s">
        <v>4</v>
      </c>
      <c r="C1170" s="4" t="s">
        <v>5</v>
      </c>
      <c r="D1170" s="4"/>
      <c r="E1170" s="4" t="s">
        <v>6</v>
      </c>
      <c r="F1170" s="5"/>
      <c r="G1170" s="4" t="s">
        <v>7</v>
      </c>
      <c r="H1170" s="5"/>
      <c r="I1170" s="5" t="s">
        <v>6</v>
      </c>
      <c r="J1170" s="5"/>
      <c r="K1170" s="22"/>
    </row>
    <row r="1171" spans="1:13" ht="12.75" customHeight="1">
      <c r="B1171" s="4" t="s">
        <v>8</v>
      </c>
      <c r="C1171" s="4" t="s">
        <v>8</v>
      </c>
      <c r="D1171" s="4" t="s">
        <v>9</v>
      </c>
      <c r="E1171" s="4" t="s">
        <v>8</v>
      </c>
      <c r="F1171" s="5" t="s">
        <v>9</v>
      </c>
      <c r="G1171" s="5" t="s">
        <v>8</v>
      </c>
      <c r="H1171" s="5" t="s">
        <v>9</v>
      </c>
      <c r="I1171" s="5" t="s">
        <v>8</v>
      </c>
      <c r="J1171" s="5" t="s">
        <v>9</v>
      </c>
      <c r="K1171" s="1" t="s">
        <v>125</v>
      </c>
    </row>
    <row r="1172" spans="1:13"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1:13">
      <c r="A1173" s="3" t="s">
        <v>10</v>
      </c>
      <c r="B1173" s="6">
        <v>553230</v>
      </c>
      <c r="C1173" s="7">
        <v>109108</v>
      </c>
      <c r="D1173" s="8">
        <f t="shared" ref="D1173:D1178" si="230">C1173/B1173</f>
        <v>0.19721996276413065</v>
      </c>
      <c r="E1173" s="11">
        <v>68136412</v>
      </c>
      <c r="F1173" s="10">
        <f>E1173/334448131</f>
        <v>0.20372788987120996</v>
      </c>
      <c r="G1173" s="11">
        <v>444122</v>
      </c>
      <c r="H1173" s="10">
        <f t="shared" ref="H1173:H1178" si="231">G1173/B1173</f>
        <v>0.80278003723586933</v>
      </c>
      <c r="I1173" s="11">
        <v>266311719</v>
      </c>
      <c r="J1173" s="10">
        <f>I1173/334448131</f>
        <v>0.79627211012879007</v>
      </c>
    </row>
    <row r="1174" spans="1:13">
      <c r="A1174" s="3" t="s">
        <v>11</v>
      </c>
      <c r="B1174" s="20">
        <v>55859</v>
      </c>
      <c r="C1174" s="7">
        <v>17589</v>
      </c>
      <c r="D1174" s="8">
        <f t="shared" si="230"/>
        <v>0.31488211389391146</v>
      </c>
      <c r="E1174" s="11">
        <v>15474812</v>
      </c>
      <c r="F1174" s="10">
        <f>E1174/51380653</f>
        <v>0.30117974561358729</v>
      </c>
      <c r="G1174" s="11">
        <v>38270</v>
      </c>
      <c r="H1174" s="10">
        <f t="shared" si="231"/>
        <v>0.68511788610608859</v>
      </c>
      <c r="I1174" s="11">
        <v>35905841</v>
      </c>
      <c r="J1174" s="10">
        <f>I1174/51380653</f>
        <v>0.69882025438641271</v>
      </c>
    </row>
    <row r="1175" spans="1:13">
      <c r="A1175" s="3" t="s">
        <v>12</v>
      </c>
      <c r="B1175" s="20">
        <v>12168</v>
      </c>
      <c r="C1175" s="7">
        <v>6007</v>
      </c>
      <c r="D1175" s="8">
        <f t="shared" si="230"/>
        <v>0.49367192636423407</v>
      </c>
      <c r="E1175" s="11">
        <v>114726730</v>
      </c>
      <c r="F1175" s="10">
        <f>E1175/170306564</f>
        <v>0.67364831575135298</v>
      </c>
      <c r="G1175" s="11">
        <v>6161</v>
      </c>
      <c r="H1175" s="10">
        <f t="shared" si="231"/>
        <v>0.50632807363576593</v>
      </c>
      <c r="I1175" s="11">
        <v>55579834</v>
      </c>
      <c r="J1175" s="10">
        <f>I1175/170306564</f>
        <v>0.32635168424864702</v>
      </c>
      <c r="K1175" s="3" t="s">
        <v>10</v>
      </c>
      <c r="M1175" s="19"/>
    </row>
    <row r="1176" spans="1:13">
      <c r="A1176" s="3" t="s">
        <v>13</v>
      </c>
      <c r="B1176" s="20">
        <v>440</v>
      </c>
      <c r="C1176" s="7">
        <v>392</v>
      </c>
      <c r="D1176" s="8">
        <f t="shared" si="230"/>
        <v>0.89090909090909087</v>
      </c>
      <c r="E1176" s="11">
        <v>223108268</v>
      </c>
      <c r="F1176" s="10">
        <f>E1176/231473646</f>
        <v>0.96386034373865614</v>
      </c>
      <c r="G1176" s="11">
        <v>47</v>
      </c>
      <c r="H1176" s="10">
        <f t="shared" si="231"/>
        <v>0.10681818181818181</v>
      </c>
      <c r="I1176" s="11">
        <v>8365408</v>
      </c>
      <c r="J1176" s="10">
        <f>I1176/231473676</f>
        <v>3.613978118185672E-2</v>
      </c>
    </row>
    <row r="1177" spans="1:13">
      <c r="A1177" s="3" t="s">
        <v>65</v>
      </c>
      <c r="B1177" s="20">
        <v>5955</v>
      </c>
      <c r="C1177" s="7">
        <v>683</v>
      </c>
      <c r="D1177" s="8">
        <f t="shared" si="230"/>
        <v>0.11469353484466835</v>
      </c>
      <c r="E1177" s="11">
        <v>100726</v>
      </c>
      <c r="F1177" s="10">
        <f>E1177/841215</f>
        <v>0.11973871126881951</v>
      </c>
      <c r="G1177" s="11">
        <v>5272</v>
      </c>
      <c r="H1177" s="10">
        <f t="shared" si="231"/>
        <v>0.88530646515533162</v>
      </c>
      <c r="I1177" s="11">
        <v>740489</v>
      </c>
      <c r="J1177" s="10">
        <f>I1177/841215</f>
        <v>0.88026128873118048</v>
      </c>
      <c r="M1177" s="19"/>
    </row>
    <row r="1178" spans="1:13" s="1" customFormat="1" ht="15.75">
      <c r="A1178" s="3"/>
      <c r="B1178" s="15">
        <f>SUM(B1173:B1177)</f>
        <v>627652</v>
      </c>
      <c r="C1178" s="16">
        <f>SUM(C1173:C1177)</f>
        <v>133779</v>
      </c>
      <c r="D1178" s="17">
        <f t="shared" si="230"/>
        <v>0.21314199588306895</v>
      </c>
      <c r="E1178" s="18">
        <f>SUM(E1173:E1177)</f>
        <v>421546948</v>
      </c>
      <c r="F1178" s="21">
        <f>E1178/788450239</f>
        <v>0.53465257177758307</v>
      </c>
      <c r="G1178" s="18">
        <f>SUM(G1173:G1177)</f>
        <v>493872</v>
      </c>
      <c r="H1178" s="17">
        <f t="shared" si="231"/>
        <v>0.78685641087736513</v>
      </c>
      <c r="I1178" s="18">
        <f>SUM(I1173:I1177)</f>
        <v>366903291</v>
      </c>
      <c r="J1178" s="21">
        <f>I1178/788450239</f>
        <v>0.46534742822241698</v>
      </c>
      <c r="M1178" s="23"/>
    </row>
    <row r="1179" spans="1:13" ht="15.75">
      <c r="A1179" s="1" t="s">
        <v>0</v>
      </c>
      <c r="B1179" s="3"/>
      <c r="J1179" s="3"/>
    </row>
    <row r="1180" spans="1:13" ht="15.75">
      <c r="A1180" s="1" t="s">
        <v>126</v>
      </c>
      <c r="B1180" s="2"/>
      <c r="C1180" s="2" t="s">
        <v>2</v>
      </c>
      <c r="D1180" s="2"/>
      <c r="E1180" s="2"/>
      <c r="F1180" s="2"/>
      <c r="G1180" s="2" t="s">
        <v>3</v>
      </c>
      <c r="H1180" s="2"/>
      <c r="I1180" s="2"/>
      <c r="J1180" s="2"/>
    </row>
    <row r="1181" spans="1:13">
      <c r="B1181" s="4" t="s">
        <v>4</v>
      </c>
      <c r="C1181" s="4" t="s">
        <v>5</v>
      </c>
      <c r="D1181" s="4"/>
      <c r="E1181" s="4" t="s">
        <v>6</v>
      </c>
      <c r="F1181" s="5"/>
      <c r="G1181" s="4" t="s">
        <v>7</v>
      </c>
      <c r="H1181" s="5"/>
      <c r="I1181" s="5" t="s">
        <v>6</v>
      </c>
      <c r="J1181" s="5"/>
      <c r="K1181" s="22"/>
    </row>
    <row r="1182" spans="1:13" ht="12.75" customHeight="1">
      <c r="B1182" s="4" t="s">
        <v>8</v>
      </c>
      <c r="C1182" s="4" t="s">
        <v>8</v>
      </c>
      <c r="D1182" s="4" t="s">
        <v>9</v>
      </c>
      <c r="E1182" s="4" t="s">
        <v>8</v>
      </c>
      <c r="F1182" s="5" t="s">
        <v>9</v>
      </c>
      <c r="G1182" s="5" t="s">
        <v>8</v>
      </c>
      <c r="H1182" s="5" t="s">
        <v>9</v>
      </c>
      <c r="I1182" s="5" t="s">
        <v>8</v>
      </c>
      <c r="J1182" s="5" t="s">
        <v>9</v>
      </c>
      <c r="K1182" s="1" t="s">
        <v>125</v>
      </c>
    </row>
    <row r="1183" spans="1:13"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3">
      <c r="A1184" s="3" t="s">
        <v>10</v>
      </c>
      <c r="B1184" s="6">
        <v>552816</v>
      </c>
      <c r="C1184" s="7">
        <v>103827</v>
      </c>
      <c r="D1184" s="8">
        <f t="shared" ref="D1184:D1189" si="232">C1184/B1184</f>
        <v>0.18781475210558304</v>
      </c>
      <c r="E1184" s="11">
        <v>64822646</v>
      </c>
      <c r="F1184" s="10">
        <f>E1184/318051466</f>
        <v>0.20381181327427053</v>
      </c>
      <c r="G1184" s="11">
        <v>448989</v>
      </c>
      <c r="H1184" s="10">
        <f t="shared" ref="H1184:H1189" si="233">G1184/B1184</f>
        <v>0.81218524789441693</v>
      </c>
      <c r="I1184" s="11">
        <v>253677809</v>
      </c>
      <c r="J1184" s="10">
        <f>I1184/318051466</f>
        <v>0.79759987334879945</v>
      </c>
    </row>
    <row r="1185" spans="1:13">
      <c r="A1185" s="3" t="s">
        <v>11</v>
      </c>
      <c r="B1185" s="20">
        <v>50676</v>
      </c>
      <c r="C1185" s="7">
        <v>16022</v>
      </c>
      <c r="D1185" s="8">
        <f t="shared" si="232"/>
        <v>0.31616544320783013</v>
      </c>
      <c r="E1185" s="11">
        <v>14570022</v>
      </c>
      <c r="F1185" s="10">
        <f>E1185/47645643</f>
        <v>0.3057996719658081</v>
      </c>
      <c r="G1185" s="11">
        <v>34654</v>
      </c>
      <c r="H1185" s="10">
        <f t="shared" si="233"/>
        <v>0.68383455679216987</v>
      </c>
      <c r="I1185" s="11">
        <v>33075621</v>
      </c>
      <c r="J1185" s="10">
        <f>I1185/47645643</f>
        <v>0.69420032803419196</v>
      </c>
    </row>
    <row r="1186" spans="1:13">
      <c r="A1186" s="3" t="s">
        <v>12</v>
      </c>
      <c r="B1186" s="20">
        <v>10962</v>
      </c>
      <c r="C1186" s="7">
        <v>5404</v>
      </c>
      <c r="D1186" s="8">
        <f t="shared" si="232"/>
        <v>0.49297573435504471</v>
      </c>
      <c r="E1186" s="11">
        <v>103405258</v>
      </c>
      <c r="F1186" s="10">
        <f>E1186/154243486</f>
        <v>0.67040275529042437</v>
      </c>
      <c r="G1186" s="11">
        <v>5558</v>
      </c>
      <c r="H1186" s="10">
        <f t="shared" si="233"/>
        <v>0.50702426564495529</v>
      </c>
      <c r="I1186" s="11">
        <v>50838228</v>
      </c>
      <c r="J1186" s="10">
        <f>I1186/154243486</f>
        <v>0.32959724470957563</v>
      </c>
      <c r="K1186" s="3" t="s">
        <v>10</v>
      </c>
    </row>
    <row r="1187" spans="1:13">
      <c r="A1187" s="3" t="s">
        <v>13</v>
      </c>
      <c r="B1187" s="20">
        <v>370</v>
      </c>
      <c r="C1187" s="7">
        <v>329</v>
      </c>
      <c r="D1187" s="8">
        <f t="shared" si="232"/>
        <v>0.88918918918918921</v>
      </c>
      <c r="E1187" s="11">
        <v>194103081</v>
      </c>
      <c r="F1187" s="10">
        <f>E1187/202837728</f>
        <v>0.95693775962625649</v>
      </c>
      <c r="G1187" s="11">
        <v>41</v>
      </c>
      <c r="H1187" s="10">
        <f t="shared" si="233"/>
        <v>0.11081081081081082</v>
      </c>
      <c r="I1187" s="11">
        <v>8734647</v>
      </c>
      <c r="J1187" s="10">
        <f>I1187/202837728</f>
        <v>4.3062240373743489E-2</v>
      </c>
    </row>
    <row r="1188" spans="1:13">
      <c r="A1188" s="3" t="s">
        <v>65</v>
      </c>
      <c r="B1188" s="20">
        <v>5259</v>
      </c>
      <c r="C1188" s="7">
        <v>659</v>
      </c>
      <c r="D1188" s="8">
        <f t="shared" si="232"/>
        <v>0.12530899410534321</v>
      </c>
      <c r="E1188" s="11">
        <v>92093</v>
      </c>
      <c r="F1188" s="10">
        <f>E1188/741196</f>
        <v>0.12424918645000782</v>
      </c>
      <c r="G1188" s="11">
        <v>4600</v>
      </c>
      <c r="H1188" s="10">
        <f t="shared" si="233"/>
        <v>0.87469100589465676</v>
      </c>
      <c r="I1188" s="11">
        <v>649103</v>
      </c>
      <c r="J1188" s="10">
        <f>I1188/741196</f>
        <v>0.87575081354999218</v>
      </c>
      <c r="M1188" s="19"/>
    </row>
    <row r="1189" spans="1:13" s="1" customFormat="1" ht="15.75">
      <c r="A1189" s="3"/>
      <c r="B1189" s="15">
        <f>SUM(B1184:B1188)</f>
        <v>620083</v>
      </c>
      <c r="C1189" s="16">
        <f>SUM(C1184:C1188)</f>
        <v>126241</v>
      </c>
      <c r="D1189" s="17">
        <f t="shared" si="232"/>
        <v>0.20358726170528785</v>
      </c>
      <c r="E1189" s="18">
        <f>SUM(E1184:E1188)</f>
        <v>376993100</v>
      </c>
      <c r="F1189" s="21">
        <f>E1189/723968508</f>
        <v>0.52073135203278764</v>
      </c>
      <c r="G1189" s="18">
        <f>SUM(G1184:G1188)</f>
        <v>493842</v>
      </c>
      <c r="H1189" s="17">
        <f t="shared" si="233"/>
        <v>0.79641273829471215</v>
      </c>
      <c r="I1189" s="18">
        <f>SUM(I1184:I1188)</f>
        <v>346975408</v>
      </c>
      <c r="J1189" s="21">
        <f>I1189/723968508</f>
        <v>0.47926864796721241</v>
      </c>
      <c r="M1189" s="23"/>
    </row>
    <row r="1190" spans="1:13" ht="15.75">
      <c r="A1190" s="1" t="s">
        <v>0</v>
      </c>
      <c r="B1190" s="3"/>
      <c r="J1190" s="3"/>
    </row>
    <row r="1191" spans="1:13" ht="15.75">
      <c r="A1191" s="1" t="s">
        <v>127</v>
      </c>
      <c r="B1191" s="2"/>
      <c r="C1191" s="2" t="s">
        <v>2</v>
      </c>
      <c r="D1191" s="2"/>
      <c r="E1191" s="2"/>
      <c r="F1191" s="2"/>
      <c r="G1191" s="2" t="s">
        <v>3</v>
      </c>
      <c r="H1191" s="2"/>
      <c r="I1191" s="2"/>
      <c r="J1191" s="2"/>
    </row>
    <row r="1192" spans="1:13">
      <c r="B1192" s="4" t="s">
        <v>4</v>
      </c>
      <c r="C1192" s="4" t="s">
        <v>5</v>
      </c>
      <c r="D1192" s="4"/>
      <c r="E1192" s="4" t="s">
        <v>6</v>
      </c>
      <c r="F1192" s="5"/>
      <c r="G1192" s="4" t="s">
        <v>7</v>
      </c>
      <c r="H1192" s="5"/>
      <c r="I1192" s="5" t="s">
        <v>6</v>
      </c>
      <c r="J1192" s="5"/>
      <c r="K1192" s="22"/>
    </row>
    <row r="1193" spans="1:13" ht="12.75" customHeight="1">
      <c r="B1193" s="4" t="s">
        <v>8</v>
      </c>
      <c r="C1193" s="4" t="s">
        <v>8</v>
      </c>
      <c r="D1193" s="4" t="s">
        <v>9</v>
      </c>
      <c r="E1193" s="4" t="s">
        <v>8</v>
      </c>
      <c r="F1193" s="5" t="s">
        <v>9</v>
      </c>
      <c r="G1193" s="5" t="s">
        <v>8</v>
      </c>
      <c r="H1193" s="5" t="s">
        <v>9</v>
      </c>
      <c r="I1193" s="5" t="s">
        <v>8</v>
      </c>
      <c r="J1193" s="5" t="s">
        <v>9</v>
      </c>
      <c r="K1193" s="1" t="s">
        <v>125</v>
      </c>
    </row>
    <row r="1194" spans="1:13"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3">
      <c r="A1195" s="3" t="s">
        <v>10</v>
      </c>
      <c r="B1195" s="6">
        <v>552322</v>
      </c>
      <c r="C1195" s="7">
        <v>110038</v>
      </c>
      <c r="D1195" s="8">
        <f t="shared" ref="D1195:D1200" si="234">C1195/B1195</f>
        <v>0.19922798657304977</v>
      </c>
      <c r="E1195" s="11">
        <v>72309940</v>
      </c>
      <c r="F1195" s="10">
        <f>E1195/343042254</f>
        <v>0.21079018446514755</v>
      </c>
      <c r="G1195" s="11">
        <v>442284</v>
      </c>
      <c r="H1195" s="10">
        <f t="shared" ref="H1195:H1200" si="235">G1195/B1195</f>
        <v>0.80077201342695026</v>
      </c>
      <c r="I1195" s="11">
        <v>270732314</v>
      </c>
      <c r="J1195" s="10">
        <f>I1195/343042254</f>
        <v>0.78920981553485248</v>
      </c>
    </row>
    <row r="1196" spans="1:13">
      <c r="A1196" s="3" t="s">
        <v>11</v>
      </c>
      <c r="B1196" s="20">
        <v>53173</v>
      </c>
      <c r="C1196" s="7">
        <v>16786</v>
      </c>
      <c r="D1196" s="8">
        <f t="shared" si="234"/>
        <v>0.31568653263874524</v>
      </c>
      <c r="E1196" s="11">
        <v>14903871</v>
      </c>
      <c r="F1196" s="10">
        <f>E1196/48129952</f>
        <v>0.30965896246894242</v>
      </c>
      <c r="G1196" s="11">
        <v>36386</v>
      </c>
      <c r="H1196" s="10">
        <f t="shared" si="235"/>
        <v>0.68429466082410251</v>
      </c>
      <c r="I1196" s="11">
        <v>33226081</v>
      </c>
      <c r="J1196" s="10">
        <f>I1196/48129952</f>
        <v>0.69034103753105758</v>
      </c>
    </row>
    <row r="1197" spans="1:13">
      <c r="A1197" s="3" t="s">
        <v>12</v>
      </c>
      <c r="B1197" s="20">
        <v>11632</v>
      </c>
      <c r="C1197" s="7">
        <v>5742</v>
      </c>
      <c r="D1197" s="8">
        <f t="shared" si="234"/>
        <v>0.49363823933975243</v>
      </c>
      <c r="E1197" s="11">
        <v>107776903</v>
      </c>
      <c r="F1197" s="10">
        <f>E1197/161233120</f>
        <v>0.66845386977563914</v>
      </c>
      <c r="G1197" s="11">
        <v>5890</v>
      </c>
      <c r="H1197" s="10">
        <f t="shared" si="235"/>
        <v>0.50636176066024763</v>
      </c>
      <c r="I1197" s="11">
        <v>53456217</v>
      </c>
      <c r="J1197" s="10">
        <f>I1197/161233120</f>
        <v>0.33154613022436086</v>
      </c>
      <c r="K1197" s="3" t="s">
        <v>10</v>
      </c>
    </row>
    <row r="1198" spans="1:13">
      <c r="A1198" s="3" t="s">
        <v>13</v>
      </c>
      <c r="B1198" s="20">
        <v>397</v>
      </c>
      <c r="C1198" s="7">
        <v>354</v>
      </c>
      <c r="D1198" s="8">
        <f t="shared" si="234"/>
        <v>0.89168765743073053</v>
      </c>
      <c r="E1198" s="11">
        <v>213907356</v>
      </c>
      <c r="F1198" s="10">
        <f>E1198/221395762</f>
        <v>0.96617638055781752</v>
      </c>
      <c r="G1198" s="11">
        <v>43</v>
      </c>
      <c r="H1198" s="10">
        <f t="shared" si="235"/>
        <v>0.10831234256926953</v>
      </c>
      <c r="I1198" s="11">
        <v>7488406</v>
      </c>
      <c r="J1198" s="10">
        <f>I1198/221395762</f>
        <v>3.3823619442182457E-2</v>
      </c>
    </row>
    <row r="1199" spans="1:13">
      <c r="A1199" s="3" t="s">
        <v>65</v>
      </c>
      <c r="B1199" s="20">
        <v>5572</v>
      </c>
      <c r="C1199" s="7">
        <v>680</v>
      </c>
      <c r="D1199" s="8">
        <f t="shared" si="234"/>
        <v>0.12203876525484565</v>
      </c>
      <c r="E1199" s="11">
        <v>102976</v>
      </c>
      <c r="F1199" s="10">
        <f>E1199/781253</f>
        <v>0.13180877385430839</v>
      </c>
      <c r="G1199" s="11">
        <v>4892</v>
      </c>
      <c r="H1199" s="10">
        <f t="shared" si="235"/>
        <v>0.87796123474515431</v>
      </c>
      <c r="I1199" s="11">
        <v>678277</v>
      </c>
      <c r="J1199" s="10">
        <f>I1199/781253</f>
        <v>0.86819122614569155</v>
      </c>
      <c r="M1199" s="19"/>
    </row>
    <row r="1200" spans="1:13" s="1" customFormat="1" ht="15.75">
      <c r="A1200" s="3"/>
      <c r="B1200" s="15">
        <f>SUM(B1195:B1199)</f>
        <v>623096</v>
      </c>
      <c r="C1200" s="16">
        <f>SUM(C1195:C1199)</f>
        <v>133600</v>
      </c>
      <c r="D1200" s="17">
        <f t="shared" si="234"/>
        <v>0.21441318833694969</v>
      </c>
      <c r="E1200" s="18">
        <f>SUM(E1195:E1199)</f>
        <v>409001046</v>
      </c>
      <c r="F1200" s="21">
        <f>E1200/774582341</f>
        <v>0.52802784720340012</v>
      </c>
      <c r="G1200" s="18">
        <f>SUM(G1195:G1199)</f>
        <v>489495</v>
      </c>
      <c r="H1200" s="17">
        <f t="shared" si="235"/>
        <v>0.78558520677391608</v>
      </c>
      <c r="I1200" s="18">
        <f>SUM(I1195:I1199)</f>
        <v>365581295</v>
      </c>
      <c r="J1200" s="21">
        <f>I1200/774582341</f>
        <v>0.47197215279659982</v>
      </c>
      <c r="M1200" s="23"/>
    </row>
    <row r="1201" spans="1:13" ht="15.75">
      <c r="A1201" s="1" t="s">
        <v>0</v>
      </c>
      <c r="B1201" s="3"/>
      <c r="J1201" s="3"/>
    </row>
    <row r="1202" spans="1:13" ht="15.75">
      <c r="A1202" s="1" t="s">
        <v>128</v>
      </c>
      <c r="B1202" s="2"/>
      <c r="C1202" s="2" t="s">
        <v>2</v>
      </c>
      <c r="D1202" s="2"/>
      <c r="E1202" s="2"/>
      <c r="F1202" s="2"/>
      <c r="G1202" s="2" t="s">
        <v>3</v>
      </c>
      <c r="H1202" s="2"/>
      <c r="I1202" s="2"/>
      <c r="J1202" s="2"/>
    </row>
    <row r="1203" spans="1:13">
      <c r="B1203" s="4" t="s">
        <v>4</v>
      </c>
      <c r="C1203" s="4" t="s">
        <v>5</v>
      </c>
      <c r="D1203" s="4"/>
      <c r="E1203" s="4" t="s">
        <v>6</v>
      </c>
      <c r="F1203" s="5"/>
      <c r="G1203" s="4" t="s">
        <v>7</v>
      </c>
      <c r="H1203" s="5"/>
      <c r="I1203" s="5" t="s">
        <v>6</v>
      </c>
      <c r="J1203" s="5"/>
      <c r="K1203" s="22"/>
    </row>
    <row r="1204" spans="1:13" ht="12.75" customHeight="1">
      <c r="B1204" s="4" t="s">
        <v>8</v>
      </c>
      <c r="C1204" s="4" t="s">
        <v>8</v>
      </c>
      <c r="D1204" s="4" t="s">
        <v>9</v>
      </c>
      <c r="E1204" s="4" t="s">
        <v>8</v>
      </c>
      <c r="F1204" s="5" t="s">
        <v>9</v>
      </c>
      <c r="G1204" s="5" t="s">
        <v>8</v>
      </c>
      <c r="H1204" s="5" t="s">
        <v>9</v>
      </c>
      <c r="I1204" s="5" t="s">
        <v>8</v>
      </c>
      <c r="J1204" s="5" t="s">
        <v>9</v>
      </c>
      <c r="K1204" s="1" t="s">
        <v>125</v>
      </c>
    </row>
    <row r="1205" spans="1:13"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3">
      <c r="A1206" s="3" t="s">
        <v>10</v>
      </c>
      <c r="B1206" s="6">
        <v>551739</v>
      </c>
      <c r="C1206" s="7">
        <v>113559</v>
      </c>
      <c r="D1206" s="8">
        <f t="shared" ref="D1206:D1211" si="236">C1206/B1206</f>
        <v>0.205820143219892</v>
      </c>
      <c r="E1206" s="11">
        <v>61955547</v>
      </c>
      <c r="F1206" s="10">
        <f>E1206/343999982</f>
        <v>0.18010334372633777</v>
      </c>
      <c r="G1206" s="11">
        <v>438180</v>
      </c>
      <c r="H1206" s="10">
        <f t="shared" ref="H1206:H1211" si="237">G1206/B1206</f>
        <v>0.79417985678010794</v>
      </c>
      <c r="I1206" s="11">
        <v>282044435</v>
      </c>
      <c r="J1206" s="10">
        <f>I1206/343999982</f>
        <v>0.81989665627366226</v>
      </c>
    </row>
    <row r="1207" spans="1:13">
      <c r="A1207" s="3" t="s">
        <v>11</v>
      </c>
      <c r="B1207" s="20">
        <v>58055</v>
      </c>
      <c r="C1207" s="7">
        <v>18537</v>
      </c>
      <c r="D1207" s="8">
        <f t="shared" si="236"/>
        <v>0.31930066316424083</v>
      </c>
      <c r="E1207" s="11">
        <v>15763336</v>
      </c>
      <c r="F1207" s="10">
        <f>E1207/49914768</f>
        <v>0.31580505392712632</v>
      </c>
      <c r="G1207" s="11">
        <v>39518</v>
      </c>
      <c r="H1207" s="10">
        <f t="shared" si="237"/>
        <v>0.68069933683575923</v>
      </c>
      <c r="I1207" s="11">
        <v>34151432</v>
      </c>
      <c r="J1207" s="10">
        <f>I1207/49914768</f>
        <v>0.68419494607287368</v>
      </c>
    </row>
    <row r="1208" spans="1:13">
      <c r="A1208" s="3" t="s">
        <v>12</v>
      </c>
      <c r="B1208" s="20">
        <v>12677</v>
      </c>
      <c r="C1208" s="7">
        <v>6244</v>
      </c>
      <c r="D1208" s="8">
        <f t="shared" si="236"/>
        <v>0.49254555494202096</v>
      </c>
      <c r="E1208" s="11">
        <v>118607031</v>
      </c>
      <c r="F1208" s="10">
        <f>E1208/177329538</f>
        <v>0.66885095589658616</v>
      </c>
      <c r="G1208" s="11">
        <v>6433</v>
      </c>
      <c r="H1208" s="10">
        <f t="shared" si="237"/>
        <v>0.50745444505797899</v>
      </c>
      <c r="I1208" s="11">
        <v>58722507</v>
      </c>
      <c r="J1208" s="10">
        <f>I1208/177329538</f>
        <v>0.33114904410341384</v>
      </c>
      <c r="K1208" s="3" t="s">
        <v>10</v>
      </c>
    </row>
    <row r="1209" spans="1:13">
      <c r="A1209" s="3" t="s">
        <v>13</v>
      </c>
      <c r="B1209" s="20">
        <v>453</v>
      </c>
      <c r="C1209" s="7">
        <v>403</v>
      </c>
      <c r="D1209" s="8">
        <f t="shared" si="236"/>
        <v>0.88962472406181015</v>
      </c>
      <c r="E1209" s="11">
        <v>247747750</v>
      </c>
      <c r="F1209" s="10">
        <f>E1209/257290031</f>
        <v>0.96291235628946692</v>
      </c>
      <c r="G1209" s="11">
        <v>50</v>
      </c>
      <c r="H1209" s="10">
        <f t="shared" si="237"/>
        <v>0.11037527593818984</v>
      </c>
      <c r="I1209" s="11">
        <v>9542281</v>
      </c>
      <c r="J1209" s="10">
        <f>I1209/257290031</f>
        <v>3.7087643710533039E-2</v>
      </c>
    </row>
    <row r="1210" spans="1:13">
      <c r="A1210" s="3" t="s">
        <v>65</v>
      </c>
      <c r="B1210" s="20">
        <v>6116</v>
      </c>
      <c r="C1210" s="7">
        <v>698</v>
      </c>
      <c r="D1210" s="8">
        <f t="shared" si="236"/>
        <v>0.11412688031393067</v>
      </c>
      <c r="E1210" s="11">
        <v>87475</v>
      </c>
      <c r="F1210" s="10">
        <f>E1210/852284</f>
        <v>0.1026359758014934</v>
      </c>
      <c r="G1210" s="11">
        <v>5418</v>
      </c>
      <c r="H1210" s="10">
        <f t="shared" si="237"/>
        <v>0.8858731196860693</v>
      </c>
      <c r="I1210" s="11">
        <v>764809</v>
      </c>
      <c r="J1210" s="10">
        <f>I1210/852284</f>
        <v>0.89736402419850658</v>
      </c>
      <c r="M1210" s="19"/>
    </row>
    <row r="1211" spans="1:13" s="1" customFormat="1" ht="15.75">
      <c r="A1211" s="3"/>
      <c r="B1211" s="15">
        <f>SUM(B1206:B1210)</f>
        <v>629040</v>
      </c>
      <c r="C1211" s="16">
        <f>SUM(C1206:C1210)</f>
        <v>139441</v>
      </c>
      <c r="D1211" s="17">
        <f t="shared" si="236"/>
        <v>0.22167270761795752</v>
      </c>
      <c r="E1211" s="18">
        <f>SUM(E1206:E1210)</f>
        <v>444161139</v>
      </c>
      <c r="F1211" s="21">
        <f>E1211/829386603</f>
        <v>0.53552967626124048</v>
      </c>
      <c r="G1211" s="18">
        <f>SUM(G1206:G1210)</f>
        <v>489599</v>
      </c>
      <c r="H1211" s="17">
        <f t="shared" si="237"/>
        <v>0.77832729238204246</v>
      </c>
      <c r="I1211" s="18">
        <f>SUM(I1206:I1210)</f>
        <v>385225464</v>
      </c>
      <c r="J1211" s="21">
        <f>I1211/829386603</f>
        <v>0.46447032373875952</v>
      </c>
      <c r="M1211" s="23"/>
    </row>
    <row r="1212" spans="1:13" ht="15.75">
      <c r="A1212" s="1" t="s">
        <v>0</v>
      </c>
      <c r="B1212" s="3"/>
      <c r="J1212" s="3"/>
    </row>
    <row r="1213" spans="1:13" ht="15.75">
      <c r="A1213" s="1" t="s">
        <v>129</v>
      </c>
      <c r="B1213" s="2"/>
      <c r="C1213" s="2" t="s">
        <v>2</v>
      </c>
      <c r="D1213" s="2"/>
      <c r="E1213" s="2"/>
      <c r="F1213" s="2"/>
      <c r="G1213" s="2" t="s">
        <v>3</v>
      </c>
      <c r="H1213" s="2"/>
      <c r="I1213" s="2"/>
      <c r="J1213" s="2"/>
    </row>
    <row r="1214" spans="1:13">
      <c r="B1214" s="4" t="s">
        <v>4</v>
      </c>
      <c r="C1214" s="4" t="s">
        <v>5</v>
      </c>
      <c r="D1214" s="4"/>
      <c r="E1214" s="4" t="s">
        <v>6</v>
      </c>
      <c r="F1214" s="5"/>
      <c r="G1214" s="4" t="s">
        <v>7</v>
      </c>
      <c r="H1214" s="5"/>
      <c r="I1214" s="5" t="s">
        <v>6</v>
      </c>
      <c r="J1214" s="5"/>
      <c r="K1214" s="22"/>
    </row>
    <row r="1215" spans="1:13" ht="12.75" customHeight="1">
      <c r="B1215" s="4" t="s">
        <v>8</v>
      </c>
      <c r="C1215" s="4" t="s">
        <v>8</v>
      </c>
      <c r="D1215" s="4" t="s">
        <v>9</v>
      </c>
      <c r="E1215" s="4" t="s">
        <v>8</v>
      </c>
      <c r="F1215" s="5" t="s">
        <v>9</v>
      </c>
      <c r="G1215" s="5" t="s">
        <v>8</v>
      </c>
      <c r="H1215" s="5" t="s">
        <v>9</v>
      </c>
      <c r="I1215" s="5" t="s">
        <v>8</v>
      </c>
      <c r="J1215" s="5" t="s">
        <v>9</v>
      </c>
      <c r="K1215" s="1" t="s">
        <v>125</v>
      </c>
    </row>
    <row r="1216" spans="1:13"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1:13">
      <c r="A1217" s="3" t="s">
        <v>10</v>
      </c>
      <c r="B1217" s="6">
        <v>551070</v>
      </c>
      <c r="C1217" s="7">
        <v>103669</v>
      </c>
      <c r="D1217" s="8">
        <f t="shared" ref="D1217:D1222" si="238">C1217/B1217</f>
        <v>0.18812310595750087</v>
      </c>
      <c r="E1217" s="11">
        <v>54486702</v>
      </c>
      <c r="F1217" s="10">
        <f>E1217/245786546</f>
        <v>0.22168301270648069</v>
      </c>
      <c r="G1217" s="11">
        <v>447401</v>
      </c>
      <c r="H1217" s="10">
        <f t="shared" ref="H1217:H1222" si="239">G1217/B1217</f>
        <v>0.81187689404249919</v>
      </c>
      <c r="I1217" s="11">
        <v>191299844</v>
      </c>
      <c r="J1217" s="10">
        <f>I1217/245786546</f>
        <v>0.77831698729351928</v>
      </c>
    </row>
    <row r="1218" spans="1:13">
      <c r="A1218" s="3" t="s">
        <v>11</v>
      </c>
      <c r="B1218" s="20">
        <v>48337</v>
      </c>
      <c r="C1218" s="7">
        <v>15275</v>
      </c>
      <c r="D1218" s="8">
        <f t="shared" si="238"/>
        <v>0.31601050954755155</v>
      </c>
      <c r="E1218" s="11">
        <v>11722304</v>
      </c>
      <c r="F1218" s="10">
        <f>E1218/37357052</f>
        <v>0.31379092761388133</v>
      </c>
      <c r="G1218" s="11">
        <v>33062</v>
      </c>
      <c r="H1218" s="10">
        <f t="shared" si="239"/>
        <v>0.68398949045244839</v>
      </c>
      <c r="I1218" s="11">
        <v>25634748</v>
      </c>
      <c r="J1218" s="10">
        <f>I1218/37357052</f>
        <v>0.68620907238611872</v>
      </c>
    </row>
    <row r="1219" spans="1:13">
      <c r="A1219" s="3" t="s">
        <v>12</v>
      </c>
      <c r="B1219" s="20">
        <v>10410</v>
      </c>
      <c r="C1219" s="7">
        <v>5046</v>
      </c>
      <c r="D1219" s="8">
        <f t="shared" si="238"/>
        <v>0.48472622478386168</v>
      </c>
      <c r="E1219" s="11">
        <v>89617667</v>
      </c>
      <c r="F1219" s="10">
        <f>E1219/135379670</f>
        <v>0.66197285751989199</v>
      </c>
      <c r="G1219" s="11">
        <v>5364</v>
      </c>
      <c r="H1219" s="10">
        <f t="shared" si="239"/>
        <v>0.51527377521613837</v>
      </c>
      <c r="I1219" s="11">
        <v>45762003</v>
      </c>
      <c r="J1219" s="10">
        <f>I1219/135379670</f>
        <v>0.33802714248010796</v>
      </c>
      <c r="K1219" s="3" t="s">
        <v>10</v>
      </c>
    </row>
    <row r="1220" spans="1:13">
      <c r="A1220" s="3" t="s">
        <v>13</v>
      </c>
      <c r="B1220" s="20">
        <v>340</v>
      </c>
      <c r="C1220" s="7">
        <v>298</v>
      </c>
      <c r="D1220" s="8">
        <f t="shared" si="238"/>
        <v>0.87647058823529411</v>
      </c>
      <c r="E1220" s="11">
        <v>198034076</v>
      </c>
      <c r="F1220" s="10">
        <f>E1220/206441104</f>
        <v>0.95927638519119718</v>
      </c>
      <c r="G1220" s="11">
        <v>42</v>
      </c>
      <c r="H1220" s="10">
        <f t="shared" si="239"/>
        <v>0.12352941176470589</v>
      </c>
      <c r="I1220" s="11">
        <v>8407028</v>
      </c>
      <c r="J1220" s="10">
        <f>I1220/206441104</f>
        <v>4.0723614808802808E-2</v>
      </c>
    </row>
    <row r="1221" spans="1:13">
      <c r="A1221" s="3" t="s">
        <v>65</v>
      </c>
      <c r="B1221" s="20">
        <v>4990</v>
      </c>
      <c r="C1221" s="7">
        <v>635</v>
      </c>
      <c r="D1221" s="8">
        <f t="shared" si="238"/>
        <v>0.12725450901803606</v>
      </c>
      <c r="E1221" s="11">
        <v>89468</v>
      </c>
      <c r="F1221" s="10">
        <f>E1221/700474</f>
        <v>0.12772494054026273</v>
      </c>
      <c r="G1221" s="11">
        <v>4355</v>
      </c>
      <c r="H1221" s="10">
        <f t="shared" si="239"/>
        <v>0.87274549098196397</v>
      </c>
      <c r="I1221" s="11">
        <v>611006</v>
      </c>
      <c r="J1221" s="10">
        <f>I1221/700474</f>
        <v>0.87227505945973727</v>
      </c>
      <c r="M1221" s="19"/>
    </row>
    <row r="1222" spans="1:13" s="1" customFormat="1" ht="15.75">
      <c r="A1222" s="3"/>
      <c r="B1222" s="15">
        <f>SUM(B1217:B1221)</f>
        <v>615147</v>
      </c>
      <c r="C1222" s="16">
        <f>SUM(C1217:C1221)</f>
        <v>124923</v>
      </c>
      <c r="D1222" s="17">
        <f t="shared" si="238"/>
        <v>0.20307828860418728</v>
      </c>
      <c r="E1222" s="18">
        <f>SUM(E1217:E1221)</f>
        <v>353950217</v>
      </c>
      <c r="F1222" s="21">
        <f>E1222/625664846</f>
        <v>0.56571856204303994</v>
      </c>
      <c r="G1222" s="18">
        <f>SUM(G1217:G1221)</f>
        <v>490224</v>
      </c>
      <c r="H1222" s="17">
        <f t="shared" si="239"/>
        <v>0.79692171139581269</v>
      </c>
      <c r="I1222" s="18">
        <f>SUM(I1217:I1221)</f>
        <v>271714629</v>
      </c>
      <c r="J1222" s="21">
        <f>I1222/625664846</f>
        <v>0.43428143795696011</v>
      </c>
      <c r="M1222" s="23"/>
    </row>
    <row r="1223" spans="1:13" ht="15.75">
      <c r="A1223" s="1" t="s">
        <v>0</v>
      </c>
      <c r="B1223" s="3"/>
      <c r="J1223" s="3"/>
    </row>
    <row r="1224" spans="1:13" ht="15.75">
      <c r="A1224" s="1" t="s">
        <v>130</v>
      </c>
      <c r="B1224" s="2"/>
      <c r="C1224" s="2" t="s">
        <v>2</v>
      </c>
      <c r="D1224" s="2"/>
      <c r="E1224" s="2"/>
      <c r="F1224" s="2"/>
      <c r="G1224" s="2" t="s">
        <v>3</v>
      </c>
      <c r="H1224" s="2"/>
      <c r="I1224" s="2"/>
      <c r="J1224" s="2"/>
    </row>
    <row r="1225" spans="1:13">
      <c r="B1225" s="4" t="s">
        <v>4</v>
      </c>
      <c r="C1225" s="4" t="s">
        <v>5</v>
      </c>
      <c r="D1225" s="4"/>
      <c r="E1225" s="4" t="s">
        <v>6</v>
      </c>
      <c r="F1225" s="5"/>
      <c r="G1225" s="4" t="s">
        <v>7</v>
      </c>
      <c r="H1225" s="5"/>
      <c r="I1225" s="5" t="s">
        <v>6</v>
      </c>
      <c r="J1225" s="5"/>
      <c r="K1225" s="22"/>
    </row>
    <row r="1226" spans="1:13" ht="12.75" customHeight="1">
      <c r="B1226" s="4" t="s">
        <v>8</v>
      </c>
      <c r="C1226" s="4" t="s">
        <v>8</v>
      </c>
      <c r="D1226" s="4" t="s">
        <v>9</v>
      </c>
      <c r="E1226" s="4" t="s">
        <v>8</v>
      </c>
      <c r="F1226" s="5" t="s">
        <v>9</v>
      </c>
      <c r="G1226" s="5" t="s">
        <v>8</v>
      </c>
      <c r="H1226" s="5" t="s">
        <v>9</v>
      </c>
      <c r="I1226" s="5" t="s">
        <v>8</v>
      </c>
      <c r="J1226" s="5" t="s">
        <v>9</v>
      </c>
      <c r="K1226" s="1" t="s">
        <v>125</v>
      </c>
    </row>
    <row r="1227" spans="1:13"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1:13">
      <c r="A1228" s="3" t="s">
        <v>10</v>
      </c>
      <c r="B1228" s="6">
        <v>550515</v>
      </c>
      <c r="C1228" s="7">
        <v>113559</v>
      </c>
      <c r="D1228" s="8">
        <f t="shared" ref="D1228:D1233" si="240">C1228/B1228</f>
        <v>0.20627775809923435</v>
      </c>
      <c r="E1228" s="11">
        <v>61955547</v>
      </c>
      <c r="F1228" s="10">
        <f>E1228/272089532</f>
        <v>0.22770279526961001</v>
      </c>
      <c r="G1228" s="11">
        <v>436956</v>
      </c>
      <c r="H1228" s="10">
        <f t="shared" ref="H1228:H1233" si="241">G1228/B1228</f>
        <v>0.79372224190076568</v>
      </c>
      <c r="I1228" s="11">
        <v>210133985</v>
      </c>
      <c r="J1228" s="10">
        <f>I1228/272089532</f>
        <v>0.77229720473038999</v>
      </c>
    </row>
    <row r="1229" spans="1:13">
      <c r="A1229" s="3" t="s">
        <v>11</v>
      </c>
      <c r="B1229" s="20">
        <v>52856</v>
      </c>
      <c r="C1229" s="7">
        <v>16819</v>
      </c>
      <c r="D1229" s="8">
        <f t="shared" si="240"/>
        <v>0.31820417738761919</v>
      </c>
      <c r="E1229" s="11">
        <v>13878406</v>
      </c>
      <c r="F1229" s="10">
        <f>E1229/44089388</f>
        <v>0.31477883067916479</v>
      </c>
      <c r="G1229" s="11">
        <v>36037</v>
      </c>
      <c r="H1229" s="10">
        <f t="shared" si="241"/>
        <v>0.68179582261238081</v>
      </c>
      <c r="I1229" s="11">
        <v>30210982</v>
      </c>
      <c r="J1229" s="10">
        <f>I1229/44089388</f>
        <v>0.68522116932083521</v>
      </c>
    </row>
    <row r="1230" spans="1:13">
      <c r="A1230" s="3" t="s">
        <v>12</v>
      </c>
      <c r="B1230" s="20">
        <v>11573</v>
      </c>
      <c r="C1230" s="7">
        <v>5669</v>
      </c>
      <c r="D1230" s="8">
        <f t="shared" si="240"/>
        <v>0.48984705780696447</v>
      </c>
      <c r="E1230" s="11">
        <v>108020547</v>
      </c>
      <c r="F1230" s="10">
        <f>E1230/165309536</f>
        <v>0.65344413645925425</v>
      </c>
      <c r="G1230" s="11">
        <v>5904</v>
      </c>
      <c r="H1230" s="10">
        <f t="shared" si="241"/>
        <v>0.51015294219303553</v>
      </c>
      <c r="I1230" s="11">
        <v>57288989</v>
      </c>
      <c r="J1230" s="10">
        <f>I1230/165309536</f>
        <v>0.34655586354074575</v>
      </c>
      <c r="K1230" s="3" t="s">
        <v>10</v>
      </c>
    </row>
    <row r="1231" spans="1:13">
      <c r="A1231" s="3" t="s">
        <v>13</v>
      </c>
      <c r="B1231" s="20">
        <v>406</v>
      </c>
      <c r="C1231" s="7">
        <v>358</v>
      </c>
      <c r="D1231" s="8">
        <f t="shared" si="240"/>
        <v>0.88177339901477836</v>
      </c>
      <c r="E1231" s="11">
        <v>251250647</v>
      </c>
      <c r="F1231" s="10">
        <f>E1231/262505986</f>
        <v>0.95712349584287193</v>
      </c>
      <c r="G1231" s="11">
        <v>48</v>
      </c>
      <c r="H1231" s="10">
        <f t="shared" si="241"/>
        <v>0.11822660098522167</v>
      </c>
      <c r="I1231" s="11">
        <v>11255339</v>
      </c>
      <c r="J1231" s="10">
        <f>I1231/262505986</f>
        <v>4.2876504157128056E-2</v>
      </c>
    </row>
    <row r="1232" spans="1:13">
      <c r="A1232" s="3" t="s">
        <v>65</v>
      </c>
      <c r="B1232" s="20">
        <v>5527</v>
      </c>
      <c r="C1232" s="7">
        <v>698</v>
      </c>
      <c r="D1232" s="8">
        <f t="shared" si="240"/>
        <v>0.12628912610819612</v>
      </c>
      <c r="E1232" s="11">
        <v>87475</v>
      </c>
      <c r="F1232" s="10">
        <f>E1232/774052</f>
        <v>0.11300920351604285</v>
      </c>
      <c r="G1232" s="11">
        <v>4829</v>
      </c>
      <c r="H1232" s="10">
        <f t="shared" si="241"/>
        <v>0.87371087389180391</v>
      </c>
      <c r="I1232" s="11">
        <v>686577</v>
      </c>
      <c r="J1232" s="10">
        <f>I1232/774052</f>
        <v>0.88699079648395718</v>
      </c>
      <c r="M1232" s="19"/>
    </row>
    <row r="1233" spans="1:13" s="1" customFormat="1" ht="15.75">
      <c r="A1233" s="3"/>
      <c r="B1233" s="15">
        <f>SUM(B1228:B1232)</f>
        <v>620877</v>
      </c>
      <c r="C1233" s="16">
        <f>SUM(C1228:C1232)</f>
        <v>137103</v>
      </c>
      <c r="D1233" s="17">
        <f t="shared" si="240"/>
        <v>0.22082151537261002</v>
      </c>
      <c r="E1233" s="18">
        <f>SUM(E1228:E1232)</f>
        <v>435192622</v>
      </c>
      <c r="F1233" s="21">
        <f>E1233/744768494</f>
        <v>0.58433274971483962</v>
      </c>
      <c r="G1233" s="18">
        <f>SUM(G1228:G1232)</f>
        <v>483774</v>
      </c>
      <c r="H1233" s="17">
        <f t="shared" si="241"/>
        <v>0.77917848462738992</v>
      </c>
      <c r="I1233" s="18">
        <f>SUM(I1228:I1232)</f>
        <v>309575872</v>
      </c>
      <c r="J1233" s="21">
        <f>I1233/744768494</f>
        <v>0.41566725028516044</v>
      </c>
      <c r="M1233" s="23"/>
    </row>
    <row r="1234" spans="1:13" ht="15.75">
      <c r="A1234" s="1" t="s">
        <v>0</v>
      </c>
      <c r="B1234" s="3"/>
      <c r="J1234" s="3"/>
    </row>
    <row r="1235" spans="1:13" ht="15.75">
      <c r="A1235" s="1" t="s">
        <v>131</v>
      </c>
      <c r="B1235" s="2"/>
      <c r="C1235" s="2" t="s">
        <v>2</v>
      </c>
      <c r="D1235" s="2"/>
      <c r="E1235" s="2"/>
      <c r="F1235" s="2"/>
      <c r="G1235" s="2" t="s">
        <v>3</v>
      </c>
      <c r="H1235" s="2"/>
      <c r="I1235" s="2"/>
      <c r="J1235" s="2"/>
    </row>
    <row r="1236" spans="1:13">
      <c r="B1236" s="4" t="s">
        <v>4</v>
      </c>
      <c r="C1236" s="4" t="s">
        <v>5</v>
      </c>
      <c r="D1236" s="4"/>
      <c r="E1236" s="4" t="s">
        <v>6</v>
      </c>
      <c r="F1236" s="5"/>
      <c r="G1236" s="4" t="s">
        <v>7</v>
      </c>
      <c r="H1236" s="5"/>
      <c r="I1236" s="5" t="s">
        <v>6</v>
      </c>
      <c r="J1236" s="5"/>
      <c r="K1236" s="22"/>
    </row>
    <row r="1237" spans="1:13" ht="12.75" customHeight="1">
      <c r="B1237" s="4" t="s">
        <v>8</v>
      </c>
      <c r="C1237" s="4" t="s">
        <v>8</v>
      </c>
      <c r="D1237" s="4" t="s">
        <v>9</v>
      </c>
      <c r="E1237" s="4" t="s">
        <v>8</v>
      </c>
      <c r="F1237" s="5" t="s">
        <v>9</v>
      </c>
      <c r="G1237" s="5" t="s">
        <v>8</v>
      </c>
      <c r="H1237" s="5" t="s">
        <v>9</v>
      </c>
      <c r="I1237" s="5" t="s">
        <v>8</v>
      </c>
      <c r="J1237" s="5" t="s">
        <v>9</v>
      </c>
      <c r="K1237" s="1" t="s">
        <v>125</v>
      </c>
    </row>
    <row r="1238" spans="1:13"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1:13">
      <c r="A1239" s="3" t="s">
        <v>10</v>
      </c>
      <c r="B1239" s="6">
        <v>550248</v>
      </c>
      <c r="C1239" s="7">
        <v>114669</v>
      </c>
      <c r="D1239" s="8">
        <f t="shared" ref="D1239:D1244" si="242">C1239/B1239</f>
        <v>0.20839512365333449</v>
      </c>
      <c r="E1239" s="11">
        <v>73073951</v>
      </c>
      <c r="F1239" s="10">
        <f>E1239/313671534</f>
        <v>0.2329632850904475</v>
      </c>
      <c r="G1239" s="11">
        <v>435579</v>
      </c>
      <c r="H1239" s="10">
        <f t="shared" ref="H1239:H1244" si="243">G1239/B1239</f>
        <v>0.79160487634666554</v>
      </c>
      <c r="I1239" s="11">
        <v>240597583</v>
      </c>
      <c r="J1239" s="10">
        <f>I1239/313671534</f>
        <v>0.7670367149095525</v>
      </c>
    </row>
    <row r="1240" spans="1:13">
      <c r="A1240" s="3" t="s">
        <v>11</v>
      </c>
      <c r="B1240" s="20">
        <v>52949</v>
      </c>
      <c r="C1240" s="7">
        <v>16934</v>
      </c>
      <c r="D1240" s="8">
        <f t="shared" si="242"/>
        <v>0.31981718257190883</v>
      </c>
      <c r="E1240" s="11">
        <v>15662151</v>
      </c>
      <c r="F1240" s="10">
        <f>E1240/50717140</f>
        <v>0.3088137659181886</v>
      </c>
      <c r="G1240" s="11">
        <v>36015</v>
      </c>
      <c r="H1240" s="10">
        <f t="shared" si="243"/>
        <v>0.68018281742809117</v>
      </c>
      <c r="I1240" s="11">
        <v>35054989</v>
      </c>
      <c r="J1240" s="10">
        <f>I1240/50717140</f>
        <v>0.69118623408181135</v>
      </c>
    </row>
    <row r="1241" spans="1:13">
      <c r="A1241" s="3" t="s">
        <v>12</v>
      </c>
      <c r="B1241" s="20">
        <v>11573</v>
      </c>
      <c r="C1241" s="7">
        <v>5670</v>
      </c>
      <c r="D1241" s="8">
        <f t="shared" si="242"/>
        <v>0.48993346582562863</v>
      </c>
      <c r="E1241" s="11">
        <v>118376188</v>
      </c>
      <c r="F1241" s="10">
        <f>E1241/185660803</f>
        <v>0.63759385980895489</v>
      </c>
      <c r="G1241" s="11">
        <v>5903</v>
      </c>
      <c r="H1241" s="10">
        <f t="shared" si="243"/>
        <v>0.51006653417437142</v>
      </c>
      <c r="I1241" s="11">
        <v>67284615</v>
      </c>
      <c r="J1241" s="10">
        <f>I1241/185660803</f>
        <v>0.36240614019104506</v>
      </c>
      <c r="K1241" s="3" t="s">
        <v>10</v>
      </c>
    </row>
    <row r="1242" spans="1:13">
      <c r="A1242" s="3" t="s">
        <v>13</v>
      </c>
      <c r="B1242" s="20">
        <v>408</v>
      </c>
      <c r="C1242" s="7">
        <v>360</v>
      </c>
      <c r="D1242" s="8">
        <f t="shared" si="242"/>
        <v>0.88235294117647056</v>
      </c>
      <c r="E1242" s="11">
        <v>264687927</v>
      </c>
      <c r="F1242" s="10">
        <f>E1242/275645524</f>
        <v>0.96024750614125698</v>
      </c>
      <c r="G1242" s="11">
        <v>48</v>
      </c>
      <c r="H1242" s="10">
        <f t="shared" si="243"/>
        <v>0.11764705882352941</v>
      </c>
      <c r="I1242" s="11">
        <v>10957597</v>
      </c>
      <c r="J1242" s="10">
        <f>I1242/275645524</f>
        <v>3.9752493858743014E-2</v>
      </c>
    </row>
    <row r="1243" spans="1:13">
      <c r="A1243" s="3" t="s">
        <v>65</v>
      </c>
      <c r="B1243" s="20">
        <v>5557</v>
      </c>
      <c r="C1243" s="7">
        <v>695</v>
      </c>
      <c r="D1243" s="8">
        <f t="shared" si="242"/>
        <v>0.12506748245456181</v>
      </c>
      <c r="E1243" s="11">
        <v>74247</v>
      </c>
      <c r="F1243" s="10">
        <f>E1243/776678</f>
        <v>9.5595600750890325E-2</v>
      </c>
      <c r="G1243" s="11">
        <v>4862</v>
      </c>
      <c r="H1243" s="10">
        <f t="shared" si="243"/>
        <v>0.87493251754543822</v>
      </c>
      <c r="I1243" s="11">
        <v>702431</v>
      </c>
      <c r="J1243" s="10">
        <f>I1243/776678</f>
        <v>0.90440439924910965</v>
      </c>
    </row>
    <row r="1244" spans="1:13" s="1" customFormat="1" ht="15.75">
      <c r="A1244" s="3"/>
      <c r="B1244" s="15">
        <f>SUM(B1239:B1243)</f>
        <v>620735</v>
      </c>
      <c r="C1244" s="16">
        <f>SUM(C1239:C1243)</f>
        <v>138328</v>
      </c>
      <c r="D1244" s="17">
        <f t="shared" si="242"/>
        <v>0.22284549767614198</v>
      </c>
      <c r="E1244" s="18">
        <f>SUM(E1239:E1243)</f>
        <v>471874464</v>
      </c>
      <c r="F1244" s="21">
        <f>E1244/826471679</f>
        <v>0.57095055522162663</v>
      </c>
      <c r="G1244" s="18">
        <f>SUM(G1239:G1243)</f>
        <v>482407</v>
      </c>
      <c r="H1244" s="17">
        <f t="shared" si="243"/>
        <v>0.77715450232385797</v>
      </c>
      <c r="I1244" s="18">
        <f>SUM(I1239:I1243)</f>
        <v>354597215</v>
      </c>
      <c r="J1244" s="21">
        <f>I1244/826471679</f>
        <v>0.42904944477837337</v>
      </c>
    </row>
    <row r="1245" spans="1:13" ht="15.75">
      <c r="A1245" s="1" t="s">
        <v>0</v>
      </c>
      <c r="B1245" s="3"/>
      <c r="J1245" s="3"/>
    </row>
    <row r="1246" spans="1:13" ht="15.75">
      <c r="A1246" s="1" t="s">
        <v>132</v>
      </c>
      <c r="B1246" s="2"/>
      <c r="C1246" s="2" t="s">
        <v>2</v>
      </c>
      <c r="D1246" s="2"/>
      <c r="E1246" s="2"/>
      <c r="F1246" s="2"/>
      <c r="G1246" s="2" t="s">
        <v>3</v>
      </c>
      <c r="H1246" s="2"/>
      <c r="I1246" s="2"/>
      <c r="J1246" s="2"/>
    </row>
    <row r="1247" spans="1:13">
      <c r="B1247" s="4" t="s">
        <v>4</v>
      </c>
      <c r="C1247" s="4" t="s">
        <v>5</v>
      </c>
      <c r="D1247" s="4"/>
      <c r="E1247" s="4" t="s">
        <v>6</v>
      </c>
      <c r="F1247" s="5"/>
      <c r="G1247" s="4" t="s">
        <v>7</v>
      </c>
      <c r="H1247" s="5"/>
      <c r="I1247" s="5" t="s">
        <v>6</v>
      </c>
      <c r="J1247" s="5"/>
      <c r="K1247" s="22"/>
    </row>
    <row r="1248" spans="1:13" ht="12.75" customHeight="1">
      <c r="B1248" s="4" t="s">
        <v>8</v>
      </c>
      <c r="C1248" s="4" t="s">
        <v>8</v>
      </c>
      <c r="D1248" s="4" t="s">
        <v>9</v>
      </c>
      <c r="E1248" s="4" t="s">
        <v>8</v>
      </c>
      <c r="F1248" s="5" t="s">
        <v>9</v>
      </c>
      <c r="G1248" s="5" t="s">
        <v>8</v>
      </c>
      <c r="H1248" s="5" t="s">
        <v>9</v>
      </c>
      <c r="I1248" s="5" t="s">
        <v>8</v>
      </c>
      <c r="J1248" s="5" t="s">
        <v>9</v>
      </c>
      <c r="K1248" s="1" t="s">
        <v>125</v>
      </c>
    </row>
    <row r="1249" spans="1:11"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1:11">
      <c r="A1250" s="3" t="s">
        <v>10</v>
      </c>
      <c r="B1250" s="6">
        <v>549860</v>
      </c>
      <c r="C1250" s="7">
        <v>115228</v>
      </c>
      <c r="D1250" s="8">
        <f t="shared" ref="D1250:D1255" si="244">C1250/B1250</f>
        <v>0.2095587967846361</v>
      </c>
      <c r="E1250" s="11">
        <v>74889477</v>
      </c>
      <c r="F1250" s="10">
        <f>E1250/319698285</f>
        <v>0.23425048088700257</v>
      </c>
      <c r="G1250" s="11">
        <v>434632</v>
      </c>
      <c r="H1250" s="10">
        <f t="shared" ref="H1250:H1255" si="245">G1250/B1250</f>
        <v>0.79044120321536393</v>
      </c>
      <c r="I1250" s="11">
        <v>244808808</v>
      </c>
      <c r="J1250" s="10">
        <f>I1250/319698285</f>
        <v>0.76574951911299738</v>
      </c>
    </row>
    <row r="1251" spans="1:11">
      <c r="A1251" s="3" t="s">
        <v>11</v>
      </c>
      <c r="B1251" s="20">
        <v>52691</v>
      </c>
      <c r="C1251" s="7">
        <v>16957</v>
      </c>
      <c r="D1251" s="8">
        <f t="shared" si="244"/>
        <v>0.32181966559754038</v>
      </c>
      <c r="E1251" s="11">
        <v>16245373</v>
      </c>
      <c r="F1251" s="10">
        <f>E1251/52470386</f>
        <v>0.30961032000031408</v>
      </c>
      <c r="G1251" s="11">
        <v>35734</v>
      </c>
      <c r="H1251" s="10">
        <f t="shared" si="245"/>
        <v>0.67818033440245962</v>
      </c>
      <c r="I1251" s="11">
        <v>36225013</v>
      </c>
      <c r="J1251" s="10">
        <f>I1251/52470386</f>
        <v>0.69038967999968592</v>
      </c>
    </row>
    <row r="1252" spans="1:11">
      <c r="A1252" s="3" t="s">
        <v>12</v>
      </c>
      <c r="B1252" s="20">
        <v>11594</v>
      </c>
      <c r="C1252" s="7">
        <v>5691</v>
      </c>
      <c r="D1252" s="8">
        <f t="shared" si="244"/>
        <v>0.49085734000345005</v>
      </c>
      <c r="E1252" s="11">
        <v>120199628</v>
      </c>
      <c r="F1252" s="10">
        <f>E1252/189973077</f>
        <v>0.6327192773742355</v>
      </c>
      <c r="G1252" s="11">
        <v>5903</v>
      </c>
      <c r="H1252" s="10">
        <f t="shared" si="245"/>
        <v>0.50914265999654995</v>
      </c>
      <c r="I1252" s="11">
        <v>69773449</v>
      </c>
      <c r="J1252" s="10">
        <f>I1252/189973077</f>
        <v>0.3672807226257645</v>
      </c>
      <c r="K1252" s="3" t="s">
        <v>10</v>
      </c>
    </row>
    <row r="1253" spans="1:11">
      <c r="A1253" s="3" t="s">
        <v>13</v>
      </c>
      <c r="B1253" s="20">
        <v>406</v>
      </c>
      <c r="C1253" s="7">
        <v>360</v>
      </c>
      <c r="D1253" s="8">
        <f t="shared" si="244"/>
        <v>0.88669950738916259</v>
      </c>
      <c r="E1253" s="11">
        <v>257860170</v>
      </c>
      <c r="F1253" s="10">
        <f>E1253/271012987</f>
        <v>0.95146794570401894</v>
      </c>
      <c r="G1253" s="11">
        <v>46</v>
      </c>
      <c r="H1253" s="10">
        <f t="shared" si="245"/>
        <v>0.11330049261083744</v>
      </c>
      <c r="I1253" s="11">
        <v>13152817</v>
      </c>
      <c r="J1253" s="10">
        <f>I1253/271012987</f>
        <v>4.8532054295981029E-2</v>
      </c>
    </row>
    <row r="1254" spans="1:11">
      <c r="A1254" s="3" t="s">
        <v>65</v>
      </c>
      <c r="B1254" s="20">
        <v>5467</v>
      </c>
      <c r="C1254" s="7">
        <v>677</v>
      </c>
      <c r="D1254" s="8">
        <f t="shared" si="244"/>
        <v>0.12383391256630694</v>
      </c>
      <c r="E1254" s="11">
        <v>60593</v>
      </c>
      <c r="F1254" s="10">
        <f>E1254/751104</f>
        <v>8.0671917603953647E-2</v>
      </c>
      <c r="G1254" s="11">
        <v>4790</v>
      </c>
      <c r="H1254" s="10">
        <f t="shared" si="245"/>
        <v>0.87616608743369306</v>
      </c>
      <c r="I1254" s="11">
        <v>690511</v>
      </c>
      <c r="J1254" s="10">
        <f>I1254/751104</f>
        <v>0.91932808239604635</v>
      </c>
    </row>
    <row r="1255" spans="1:11" s="1" customFormat="1" ht="15.75">
      <c r="A1255" s="3"/>
      <c r="B1255" s="15">
        <f>SUM(B1250:B1254)</f>
        <v>620018</v>
      </c>
      <c r="C1255" s="16">
        <f>SUM(C1250:C1254)</f>
        <v>138913</v>
      </c>
      <c r="D1255" s="17">
        <f t="shared" si="244"/>
        <v>0.22404672122422253</v>
      </c>
      <c r="E1255" s="18">
        <f>SUM(E1250:E1254)</f>
        <v>469255241</v>
      </c>
      <c r="F1255" s="21">
        <f>E1255/833905839</f>
        <v>0.56271969694170709</v>
      </c>
      <c r="G1255" s="18">
        <f>SUM(G1250:G1254)</f>
        <v>481105</v>
      </c>
      <c r="H1255" s="17">
        <f t="shared" si="245"/>
        <v>0.77595327877577747</v>
      </c>
      <c r="I1255" s="18">
        <f>SUM(I1250:I1254)</f>
        <v>364650598</v>
      </c>
      <c r="J1255" s="21">
        <f>I1255/833915591</f>
        <v>0.43727518940223292</v>
      </c>
    </row>
    <row r="1256" spans="1:11" ht="15.75">
      <c r="A1256" s="1" t="s">
        <v>0</v>
      </c>
      <c r="B1256" s="3"/>
      <c r="J1256" s="3"/>
    </row>
    <row r="1257" spans="1:11" ht="15.75">
      <c r="A1257" s="1" t="s">
        <v>133</v>
      </c>
      <c r="B1257" s="2"/>
      <c r="C1257" s="2" t="s">
        <v>2</v>
      </c>
      <c r="D1257" s="2"/>
      <c r="E1257" s="2"/>
      <c r="F1257" s="2"/>
      <c r="G1257" s="2" t="s">
        <v>3</v>
      </c>
      <c r="H1257" s="2"/>
      <c r="I1257" s="2"/>
      <c r="J1257" s="2"/>
    </row>
    <row r="1258" spans="1:11">
      <c r="B1258" s="4" t="s">
        <v>4</v>
      </c>
      <c r="C1258" s="4" t="s">
        <v>5</v>
      </c>
      <c r="D1258" s="4"/>
      <c r="E1258" s="4" t="s">
        <v>6</v>
      </c>
      <c r="F1258" s="5"/>
      <c r="G1258" s="4" t="s">
        <v>7</v>
      </c>
      <c r="H1258" s="5"/>
      <c r="I1258" s="5" t="s">
        <v>6</v>
      </c>
      <c r="J1258" s="5"/>
      <c r="K1258" s="22"/>
    </row>
    <row r="1259" spans="1:11" ht="12.75" customHeight="1">
      <c r="B1259" s="4" t="s">
        <v>8</v>
      </c>
      <c r="C1259" s="4" t="s">
        <v>8</v>
      </c>
      <c r="D1259" s="4" t="s">
        <v>9</v>
      </c>
      <c r="E1259" s="4" t="s">
        <v>8</v>
      </c>
      <c r="F1259" s="5" t="s">
        <v>9</v>
      </c>
      <c r="G1259" s="5" t="s">
        <v>8</v>
      </c>
      <c r="H1259" s="5" t="s">
        <v>9</v>
      </c>
      <c r="I1259" s="5" t="s">
        <v>8</v>
      </c>
      <c r="J1259" s="5" t="s">
        <v>9</v>
      </c>
      <c r="K1259" s="1" t="s">
        <v>125</v>
      </c>
    </row>
    <row r="1260" spans="1:11"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1:11">
      <c r="A1261" s="3" t="s">
        <v>10</v>
      </c>
      <c r="B1261" s="6">
        <v>549667</v>
      </c>
      <c r="C1261" s="7">
        <v>116790</v>
      </c>
      <c r="D1261" s="8">
        <f t="shared" ref="D1261:D1266" si="246">C1261/B1261</f>
        <v>0.21247409795385205</v>
      </c>
      <c r="E1261" s="11">
        <v>71069107</v>
      </c>
      <c r="F1261" s="10">
        <f>E1261/298662903</f>
        <v>0.23795759796790028</v>
      </c>
      <c r="G1261" s="11">
        <v>432877</v>
      </c>
      <c r="H1261" s="10">
        <f t="shared" ref="H1261:H1266" si="247">G1261/B1261</f>
        <v>0.78752590204614792</v>
      </c>
      <c r="I1261" s="11">
        <v>227593796</v>
      </c>
      <c r="J1261" s="10">
        <f>I1261/298662903</f>
        <v>0.76204240203209972</v>
      </c>
    </row>
    <row r="1262" spans="1:11">
      <c r="A1262" s="3" t="s">
        <v>11</v>
      </c>
      <c r="B1262" s="20">
        <v>52844</v>
      </c>
      <c r="C1262" s="7">
        <v>17050</v>
      </c>
      <c r="D1262" s="8">
        <f t="shared" si="246"/>
        <v>0.32264779350541217</v>
      </c>
      <c r="E1262" s="11">
        <v>15755257</v>
      </c>
      <c r="F1262" s="10">
        <f>E1262/49776750</f>
        <v>0.31651839463203202</v>
      </c>
      <c r="G1262" s="11">
        <v>35794</v>
      </c>
      <c r="H1262" s="10">
        <f t="shared" si="247"/>
        <v>0.67735220649458783</v>
      </c>
      <c r="I1262" s="11">
        <v>34021493</v>
      </c>
      <c r="J1262" s="10">
        <f>I1262/49776750</f>
        <v>0.68348160536796798</v>
      </c>
    </row>
    <row r="1263" spans="1:11">
      <c r="A1263" s="3" t="s">
        <v>12</v>
      </c>
      <c r="B1263" s="20">
        <v>11623</v>
      </c>
      <c r="C1263" s="7">
        <v>5692</v>
      </c>
      <c r="D1263" s="8">
        <f t="shared" si="246"/>
        <v>0.48971866127505809</v>
      </c>
      <c r="E1263" s="11">
        <v>116390975</v>
      </c>
      <c r="F1263" s="10">
        <f>E1263/182410098</f>
        <v>0.63807309066847828</v>
      </c>
      <c r="G1263" s="11">
        <v>5931</v>
      </c>
      <c r="H1263" s="10">
        <f t="shared" si="247"/>
        <v>0.51028133872494197</v>
      </c>
      <c r="I1263" s="11">
        <v>66019123</v>
      </c>
      <c r="J1263" s="10">
        <f>I1263/182410098</f>
        <v>0.36192690933152177</v>
      </c>
      <c r="K1263" s="3" t="s">
        <v>10</v>
      </c>
    </row>
    <row r="1264" spans="1:11">
      <c r="A1264" s="3" t="s">
        <v>13</v>
      </c>
      <c r="B1264" s="20">
        <v>403</v>
      </c>
      <c r="C1264" s="7">
        <v>354</v>
      </c>
      <c r="D1264" s="8">
        <f t="shared" si="246"/>
        <v>0.87841191066997515</v>
      </c>
      <c r="E1264" s="11">
        <v>256183857</v>
      </c>
      <c r="F1264" s="10">
        <f>E1264/268615583</f>
        <v>0.95371926728465339</v>
      </c>
      <c r="G1264" s="11">
        <v>49</v>
      </c>
      <c r="H1264" s="10">
        <f t="shared" si="247"/>
        <v>0.12158808933002481</v>
      </c>
      <c r="I1264" s="11">
        <v>12431726</v>
      </c>
      <c r="J1264" s="10">
        <f>I1264/268615583</f>
        <v>4.6280732715346599E-2</v>
      </c>
    </row>
    <row r="1265" spans="1:11">
      <c r="A1265" s="3" t="s">
        <v>65</v>
      </c>
      <c r="B1265" s="20">
        <v>5657</v>
      </c>
      <c r="C1265" s="7">
        <v>718</v>
      </c>
      <c r="D1265" s="8">
        <f t="shared" si="246"/>
        <v>0.12692239703022803</v>
      </c>
      <c r="E1265" s="11">
        <v>63538</v>
      </c>
      <c r="F1265" s="10">
        <f>E1265/778739</f>
        <v>8.1590879614350895E-2</v>
      </c>
      <c r="G1265" s="11">
        <v>4939</v>
      </c>
      <c r="H1265" s="10">
        <f t="shared" si="247"/>
        <v>0.87307760296977199</v>
      </c>
      <c r="I1265" s="11">
        <v>715201</v>
      </c>
      <c r="J1265" s="10">
        <f>I1265/778739</f>
        <v>0.91840912038564915</v>
      </c>
    </row>
    <row r="1266" spans="1:11" s="1" customFormat="1" ht="15.75">
      <c r="A1266" s="3"/>
      <c r="B1266" s="15">
        <f>SUM(B1261:B1265)</f>
        <v>620194</v>
      </c>
      <c r="C1266" s="16">
        <f>SUM(C1261:C1265)</f>
        <v>140604</v>
      </c>
      <c r="D1266" s="17">
        <f t="shared" si="246"/>
        <v>0.22670970696266007</v>
      </c>
      <c r="E1266" s="18">
        <f>SUM(E1261:E1265)</f>
        <v>459462734</v>
      </c>
      <c r="F1266" s="21">
        <f>E1266/800244073</f>
        <v>0.57415324836776394</v>
      </c>
      <c r="G1266" s="18">
        <f>SUM(G1261:G1265)</f>
        <v>479590</v>
      </c>
      <c r="H1266" s="17">
        <f t="shared" si="247"/>
        <v>0.77329029303733998</v>
      </c>
      <c r="I1266" s="18">
        <f>SUM(I1261:I1265)</f>
        <v>340781339</v>
      </c>
      <c r="J1266" s="21">
        <f>I1266/800244073</f>
        <v>0.42584675163223606</v>
      </c>
    </row>
    <row r="1267" spans="1:11" ht="15.75">
      <c r="A1267" s="1" t="s">
        <v>0</v>
      </c>
      <c r="B1267" s="3"/>
      <c r="J1267" s="3"/>
    </row>
    <row r="1268" spans="1:11" ht="15.75">
      <c r="A1268" s="1" t="s">
        <v>134</v>
      </c>
      <c r="B1268" s="2"/>
      <c r="C1268" s="2" t="s">
        <v>2</v>
      </c>
      <c r="D1268" s="2"/>
      <c r="E1268" s="2"/>
      <c r="F1268" s="2"/>
      <c r="G1268" s="2" t="s">
        <v>3</v>
      </c>
      <c r="H1268" s="2"/>
      <c r="I1268" s="2"/>
      <c r="J1268" s="2"/>
    </row>
    <row r="1269" spans="1:11">
      <c r="B1269" s="4" t="s">
        <v>4</v>
      </c>
      <c r="C1269" s="4" t="s">
        <v>5</v>
      </c>
      <c r="D1269" s="4"/>
      <c r="E1269" s="4" t="s">
        <v>6</v>
      </c>
      <c r="F1269" s="5"/>
      <c r="G1269" s="4" t="s">
        <v>7</v>
      </c>
      <c r="H1269" s="5"/>
      <c r="I1269" s="5" t="s">
        <v>6</v>
      </c>
      <c r="J1269" s="5"/>
      <c r="K1269" s="22"/>
    </row>
    <row r="1270" spans="1:11" ht="12.75" customHeight="1">
      <c r="B1270" s="4" t="s">
        <v>8</v>
      </c>
      <c r="C1270" s="4" t="s">
        <v>8</v>
      </c>
      <c r="D1270" s="4" t="s">
        <v>9</v>
      </c>
      <c r="E1270" s="4" t="s">
        <v>8</v>
      </c>
      <c r="F1270" s="5" t="s">
        <v>9</v>
      </c>
      <c r="G1270" s="5" t="s">
        <v>8</v>
      </c>
      <c r="H1270" s="5" t="s">
        <v>9</v>
      </c>
      <c r="I1270" s="5" t="s">
        <v>8</v>
      </c>
      <c r="J1270" s="5" t="s">
        <v>9</v>
      </c>
      <c r="K1270" s="1" t="s">
        <v>125</v>
      </c>
    </row>
    <row r="1271" spans="1:11"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1:11">
      <c r="A1272" s="3" t="s">
        <v>10</v>
      </c>
      <c r="B1272" s="6">
        <v>549338</v>
      </c>
      <c r="C1272" s="7">
        <v>118689</v>
      </c>
      <c r="D1272" s="8">
        <f t="shared" ref="D1272:D1277" si="248">C1272/B1272</f>
        <v>0.21605823736934274</v>
      </c>
      <c r="E1272" s="11">
        <v>63596019</v>
      </c>
      <c r="F1272" s="10">
        <f>E1272/262692879</f>
        <v>0.24209266441516292</v>
      </c>
      <c r="G1272" s="11">
        <v>430649</v>
      </c>
      <c r="H1272" s="10">
        <f t="shared" ref="H1272:H1277" si="249">G1272/B1272</f>
        <v>0.78394176263065729</v>
      </c>
      <c r="I1272" s="11">
        <v>199096860</v>
      </c>
      <c r="J1272" s="10">
        <f>I1272/262692879</f>
        <v>0.75790733558483703</v>
      </c>
    </row>
    <row r="1273" spans="1:11">
      <c r="A1273" s="3" t="s">
        <v>11</v>
      </c>
      <c r="B1273" s="20">
        <v>55381</v>
      </c>
      <c r="C1273" s="7">
        <v>17945</v>
      </c>
      <c r="D1273" s="8">
        <f t="shared" si="248"/>
        <v>0.32402809627850709</v>
      </c>
      <c r="E1273" s="11">
        <v>14010300</v>
      </c>
      <c r="F1273" s="10">
        <f>E1273/43530165</f>
        <v>0.32185267388717687</v>
      </c>
      <c r="G1273" s="11">
        <v>37436</v>
      </c>
      <c r="H1273" s="10">
        <f t="shared" si="249"/>
        <v>0.67597190372149296</v>
      </c>
      <c r="I1273" s="11">
        <v>29519865</v>
      </c>
      <c r="J1273" s="10">
        <f>I1273/43530165</f>
        <v>0.67814732611282313</v>
      </c>
    </row>
    <row r="1274" spans="1:11">
      <c r="A1274" s="3" t="s">
        <v>12</v>
      </c>
      <c r="B1274" s="20">
        <v>12213</v>
      </c>
      <c r="C1274" s="7">
        <v>6017</v>
      </c>
      <c r="D1274" s="8">
        <f t="shared" si="248"/>
        <v>0.49267174322443297</v>
      </c>
      <c r="E1274" s="11">
        <v>108556248</v>
      </c>
      <c r="F1274" s="10">
        <f>E1274/165644163</f>
        <v>0.65535812451175834</v>
      </c>
      <c r="G1274" s="11">
        <v>6196</v>
      </c>
      <c r="H1274" s="10">
        <f t="shared" si="249"/>
        <v>0.50732825677556703</v>
      </c>
      <c r="I1274" s="11">
        <v>57087915</v>
      </c>
      <c r="J1274" s="10">
        <f>I1274/165644163</f>
        <v>0.3446418754882416</v>
      </c>
      <c r="K1274" s="3" t="s">
        <v>10</v>
      </c>
    </row>
    <row r="1275" spans="1:11">
      <c r="A1275" s="3" t="s">
        <v>13</v>
      </c>
      <c r="B1275" s="20">
        <v>448</v>
      </c>
      <c r="C1275" s="7">
        <v>395</v>
      </c>
      <c r="D1275" s="8">
        <f t="shared" si="248"/>
        <v>0.8816964285714286</v>
      </c>
      <c r="E1275" s="11">
        <v>261523214</v>
      </c>
      <c r="F1275" s="10">
        <f>E1275/275175580</f>
        <v>0.95038670946019266</v>
      </c>
      <c r="G1275" s="11">
        <v>53</v>
      </c>
      <c r="H1275" s="10">
        <f t="shared" si="249"/>
        <v>0.11830357142857142</v>
      </c>
      <c r="I1275" s="11">
        <v>13652366</v>
      </c>
      <c r="J1275" s="10">
        <f>I1275/275175580</f>
        <v>4.9613290539807349E-2</v>
      </c>
    </row>
    <row r="1276" spans="1:11">
      <c r="A1276" s="3" t="s">
        <v>65</v>
      </c>
      <c r="B1276" s="20">
        <v>6740</v>
      </c>
      <c r="C1276" s="7">
        <v>728</v>
      </c>
      <c r="D1276" s="8">
        <f t="shared" si="248"/>
        <v>0.10801186943620178</v>
      </c>
      <c r="E1276" s="11">
        <v>69000</v>
      </c>
      <c r="F1276" s="10">
        <f>E1276/841065</f>
        <v>8.2038843608995743E-2</v>
      </c>
      <c r="G1276" s="11">
        <v>6012</v>
      </c>
      <c r="H1276" s="10">
        <f t="shared" si="249"/>
        <v>0.89198813056379822</v>
      </c>
      <c r="I1276" s="11">
        <v>772065</v>
      </c>
      <c r="J1276" s="10">
        <f>I1276/841065</f>
        <v>0.91796115639100428</v>
      </c>
    </row>
    <row r="1277" spans="1:11" s="1" customFormat="1" ht="15.75">
      <c r="A1277" s="3"/>
      <c r="B1277" s="15">
        <f>SUM(B1272:B1276)</f>
        <v>624120</v>
      </c>
      <c r="C1277" s="16">
        <f>SUM(C1272:C1276)</f>
        <v>143774</v>
      </c>
      <c r="D1277" s="17">
        <f t="shared" si="248"/>
        <v>0.23036275075306031</v>
      </c>
      <c r="E1277" s="18">
        <f>SUM(E1272:E1276)</f>
        <v>447754781</v>
      </c>
      <c r="F1277" s="21">
        <f>E1277/747883852</f>
        <v>0.59869561269789251</v>
      </c>
      <c r="G1277" s="18">
        <f>SUM(G1272:G1276)</f>
        <v>480346</v>
      </c>
      <c r="H1277" s="17">
        <f t="shared" si="249"/>
        <v>0.76963724924693966</v>
      </c>
      <c r="I1277" s="18">
        <f>SUM(I1272:I1276)</f>
        <v>300129071</v>
      </c>
      <c r="J1277" s="21">
        <f>I1277/747883852</f>
        <v>0.40130438730210743</v>
      </c>
    </row>
    <row r="1278" spans="1:11" ht="15.75">
      <c r="A1278" s="1" t="s">
        <v>0</v>
      </c>
      <c r="B1278" s="3"/>
      <c r="J1278" s="3"/>
    </row>
    <row r="1279" spans="1:11" ht="15.75">
      <c r="A1279" s="1" t="s">
        <v>135</v>
      </c>
      <c r="B1279" s="2"/>
      <c r="C1279" s="2" t="s">
        <v>2</v>
      </c>
      <c r="D1279" s="2"/>
      <c r="E1279" s="2"/>
      <c r="F1279" s="2"/>
      <c r="G1279" s="2" t="s">
        <v>3</v>
      </c>
      <c r="H1279" s="2"/>
      <c r="I1279" s="2"/>
      <c r="J1279" s="2"/>
    </row>
    <row r="1280" spans="1:11">
      <c r="B1280" s="4" t="s">
        <v>4</v>
      </c>
      <c r="C1280" s="4" t="s">
        <v>5</v>
      </c>
      <c r="D1280" s="4"/>
      <c r="E1280" s="4" t="s">
        <v>6</v>
      </c>
      <c r="F1280" s="5"/>
      <c r="G1280" s="4" t="s">
        <v>7</v>
      </c>
      <c r="H1280" s="5"/>
      <c r="I1280" s="5" t="s">
        <v>6</v>
      </c>
      <c r="J1280" s="5"/>
      <c r="K1280" s="22"/>
    </row>
    <row r="1281" spans="1:11" ht="12.75" customHeight="1">
      <c r="B1281" s="4" t="s">
        <v>8</v>
      </c>
      <c r="C1281" s="4" t="s">
        <v>8</v>
      </c>
      <c r="D1281" s="4" t="s">
        <v>9</v>
      </c>
      <c r="E1281" s="4" t="s">
        <v>8</v>
      </c>
      <c r="F1281" s="5" t="s">
        <v>9</v>
      </c>
      <c r="G1281" s="5" t="s">
        <v>8</v>
      </c>
      <c r="H1281" s="5" t="s">
        <v>9</v>
      </c>
      <c r="I1281" s="5" t="s">
        <v>8</v>
      </c>
      <c r="J1281" s="5" t="s">
        <v>9</v>
      </c>
      <c r="K1281" s="1" t="s">
        <v>125</v>
      </c>
    </row>
    <row r="1282" spans="1:11"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1:11">
      <c r="A1283" s="3" t="s">
        <v>10</v>
      </c>
      <c r="B1283" s="6">
        <v>549443</v>
      </c>
      <c r="C1283" s="7">
        <v>113725</v>
      </c>
      <c r="D1283" s="8">
        <f t="shared" ref="D1283:D1288" si="250">C1283/B1283</f>
        <v>0.20698234393740569</v>
      </c>
      <c r="E1283" s="11">
        <v>59109411</v>
      </c>
      <c r="F1283" s="10">
        <f>E1283/248145984</f>
        <v>0.23820418145473593</v>
      </c>
      <c r="G1283" s="11">
        <v>435718</v>
      </c>
      <c r="H1283" s="10">
        <f t="shared" ref="H1283:H1288" si="251">G1283/B1283</f>
        <v>0.79301765606259433</v>
      </c>
      <c r="I1283" s="11">
        <v>189036573</v>
      </c>
      <c r="J1283" s="10">
        <f>I1283/248145984</f>
        <v>0.76179581854526401</v>
      </c>
    </row>
    <row r="1284" spans="1:11">
      <c r="A1284" s="3" t="s">
        <v>11</v>
      </c>
      <c r="B1284" s="20">
        <v>50158</v>
      </c>
      <c r="C1284" s="7">
        <v>16249</v>
      </c>
      <c r="D1284" s="8">
        <f t="shared" si="250"/>
        <v>0.3239562980980103</v>
      </c>
      <c r="E1284" s="11">
        <v>12884215</v>
      </c>
      <c r="F1284" s="10">
        <f>E1284/39517394</f>
        <v>0.32603908547208349</v>
      </c>
      <c r="G1284" s="11">
        <v>33909</v>
      </c>
      <c r="H1284" s="10">
        <f t="shared" si="251"/>
        <v>0.6760437019019897</v>
      </c>
      <c r="I1284" s="11">
        <v>26633179</v>
      </c>
      <c r="J1284" s="10">
        <f>I1284/39517394</f>
        <v>0.67396091452791651</v>
      </c>
    </row>
    <row r="1285" spans="1:11">
      <c r="A1285" s="3" t="s">
        <v>12</v>
      </c>
      <c r="B1285" s="20">
        <v>11020</v>
      </c>
      <c r="C1285" s="7">
        <v>5382</v>
      </c>
      <c r="D1285" s="8">
        <f t="shared" si="250"/>
        <v>0.4883847549909256</v>
      </c>
      <c r="E1285" s="11">
        <v>94659959</v>
      </c>
      <c r="F1285" s="10">
        <f>E1285/144345369</f>
        <v>0.65578798721280762</v>
      </c>
      <c r="G1285" s="11">
        <v>5638</v>
      </c>
      <c r="H1285" s="10">
        <f t="shared" si="251"/>
        <v>0.5116152450090744</v>
      </c>
      <c r="I1285" s="11">
        <v>49685410</v>
      </c>
      <c r="J1285" s="10">
        <f>I1285/144345369</f>
        <v>0.34421201278719238</v>
      </c>
      <c r="K1285" s="3" t="s">
        <v>10</v>
      </c>
    </row>
    <row r="1286" spans="1:11">
      <c r="A1286" s="3" t="s">
        <v>13</v>
      </c>
      <c r="B1286" s="20">
        <v>374</v>
      </c>
      <c r="C1286" s="7">
        <v>331</v>
      </c>
      <c r="D1286" s="8">
        <f t="shared" si="250"/>
        <v>0.88502673796791442</v>
      </c>
      <c r="E1286" s="11">
        <v>216812342</v>
      </c>
      <c r="F1286" s="10">
        <f>E1286/226042090</f>
        <v>0.95916801158580689</v>
      </c>
      <c r="G1286" s="11">
        <v>43</v>
      </c>
      <c r="H1286" s="10">
        <f t="shared" si="251"/>
        <v>0.11497326203208556</v>
      </c>
      <c r="I1286" s="11">
        <v>9229748</v>
      </c>
      <c r="J1286" s="10">
        <f>I1286/226042090</f>
        <v>4.0831988414193124E-2</v>
      </c>
    </row>
    <row r="1287" spans="1:11">
      <c r="A1287" s="3" t="s">
        <v>65</v>
      </c>
      <c r="B1287" s="20">
        <v>4984</v>
      </c>
      <c r="C1287" s="7">
        <v>700</v>
      </c>
      <c r="D1287" s="8">
        <f t="shared" si="250"/>
        <v>0.1404494382022472</v>
      </c>
      <c r="E1287" s="11">
        <v>67018</v>
      </c>
      <c r="F1287" s="10">
        <f>E1287/741822</f>
        <v>9.0342427159075894E-2</v>
      </c>
      <c r="G1287" s="11">
        <v>4284</v>
      </c>
      <c r="H1287" s="10">
        <f t="shared" si="251"/>
        <v>0.8595505617977528</v>
      </c>
      <c r="I1287" s="11">
        <v>674804</v>
      </c>
      <c r="J1287" s="10">
        <f>I1287/741822</f>
        <v>0.90965757284092408</v>
      </c>
    </row>
    <row r="1288" spans="1:11" s="1" customFormat="1" ht="15.75">
      <c r="A1288" s="3"/>
      <c r="B1288" s="15">
        <f>SUM(B1283:B1287)</f>
        <v>615979</v>
      </c>
      <c r="C1288" s="16">
        <f>SUM(C1283:C1287)</f>
        <v>136387</v>
      </c>
      <c r="D1288" s="17">
        <f t="shared" si="250"/>
        <v>0.22141501577164158</v>
      </c>
      <c r="E1288" s="18">
        <f>SUM(E1283:E1287)</f>
        <v>383532945</v>
      </c>
      <c r="F1288" s="21">
        <f>E1288/658792659</f>
        <v>0.58217549901387111</v>
      </c>
      <c r="G1288" s="18">
        <f>SUM(G1283:G1287)</f>
        <v>479592</v>
      </c>
      <c r="H1288" s="17">
        <f t="shared" si="251"/>
        <v>0.77858498422835842</v>
      </c>
      <c r="I1288" s="18">
        <f>SUM(I1283:I1287)</f>
        <v>275259714</v>
      </c>
      <c r="J1288" s="21">
        <f>I1288/658792659</f>
        <v>0.41782450098612894</v>
      </c>
    </row>
    <row r="1289" spans="1:11" ht="15.75">
      <c r="A1289" s="1" t="s">
        <v>0</v>
      </c>
      <c r="B1289" s="3"/>
      <c r="J1289" s="3"/>
    </row>
    <row r="1290" spans="1:11" ht="15.75">
      <c r="A1290" s="1" t="s">
        <v>136</v>
      </c>
      <c r="B1290" s="2"/>
      <c r="C1290" s="2" t="s">
        <v>2</v>
      </c>
      <c r="D1290" s="2"/>
      <c r="E1290" s="2"/>
      <c r="F1290" s="2"/>
      <c r="G1290" s="2" t="s">
        <v>3</v>
      </c>
      <c r="H1290" s="2"/>
      <c r="I1290" s="2"/>
      <c r="J1290" s="2"/>
    </row>
    <row r="1291" spans="1:11">
      <c r="B1291" s="4" t="s">
        <v>4</v>
      </c>
      <c r="C1291" s="4" t="s">
        <v>5</v>
      </c>
      <c r="D1291" s="4"/>
      <c r="E1291" s="4" t="s">
        <v>6</v>
      </c>
      <c r="F1291" s="5"/>
      <c r="G1291" s="4" t="s">
        <v>7</v>
      </c>
      <c r="H1291" s="5"/>
      <c r="I1291" s="5" t="s">
        <v>6</v>
      </c>
      <c r="J1291" s="5"/>
      <c r="K1291" s="22"/>
    </row>
    <row r="1292" spans="1:11" ht="12.75" customHeight="1">
      <c r="B1292" s="4" t="s">
        <v>8</v>
      </c>
      <c r="C1292" s="4" t="s">
        <v>8</v>
      </c>
      <c r="D1292" s="4" t="s">
        <v>9</v>
      </c>
      <c r="E1292" s="4" t="s">
        <v>8</v>
      </c>
      <c r="F1292" s="5" t="s">
        <v>9</v>
      </c>
      <c r="G1292" s="5" t="s">
        <v>8</v>
      </c>
      <c r="H1292" s="5" t="s">
        <v>9</v>
      </c>
      <c r="I1292" s="5" t="s">
        <v>8</v>
      </c>
      <c r="J1292" s="5" t="s">
        <v>9</v>
      </c>
      <c r="K1292" s="1" t="s">
        <v>125</v>
      </c>
    </row>
    <row r="1293" spans="1:11"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1:11">
      <c r="A1294" s="3" t="s">
        <v>10</v>
      </c>
      <c r="B1294" s="6">
        <v>550147</v>
      </c>
      <c r="C1294" s="7">
        <v>121896</v>
      </c>
      <c r="D1294" s="8">
        <f t="shared" ref="D1294:D1299" si="252">C1294/B1294</f>
        <v>0.22156987132530032</v>
      </c>
      <c r="E1294" s="11">
        <v>74261789</v>
      </c>
      <c r="F1294" s="10">
        <f>E1294/312853441</f>
        <v>0.23736925751121912</v>
      </c>
      <c r="G1294" s="11">
        <v>428251</v>
      </c>
      <c r="H1294" s="10">
        <f t="shared" ref="H1294:H1299" si="253">G1294/B1294</f>
        <v>0.77843012867469963</v>
      </c>
      <c r="I1294" s="11">
        <v>238591652</v>
      </c>
      <c r="J1294" s="10">
        <f>I1294/312853441</f>
        <v>0.76263074248878082</v>
      </c>
    </row>
    <row r="1295" spans="1:11">
      <c r="A1295" s="3" t="s">
        <v>11</v>
      </c>
      <c r="B1295" s="20">
        <v>52514</v>
      </c>
      <c r="C1295" s="7">
        <v>16996</v>
      </c>
      <c r="D1295" s="8">
        <f t="shared" si="252"/>
        <v>0.32364702745934415</v>
      </c>
      <c r="E1295" s="11">
        <v>14992181</v>
      </c>
      <c r="F1295" s="10">
        <f>E1295/47074840</f>
        <v>0.31847545312952735</v>
      </c>
      <c r="G1295" s="11">
        <v>35518</v>
      </c>
      <c r="H1295" s="10">
        <f t="shared" si="253"/>
        <v>0.67635297254065585</v>
      </c>
      <c r="I1295" s="11">
        <v>32082659</v>
      </c>
      <c r="J1295" s="10">
        <f>I1295/47074840</f>
        <v>0.68152454687047259</v>
      </c>
    </row>
    <row r="1296" spans="1:11">
      <c r="A1296" s="3" t="s">
        <v>12</v>
      </c>
      <c r="B1296" s="20">
        <v>11701</v>
      </c>
      <c r="C1296" s="7">
        <v>5703</v>
      </c>
      <c r="D1296" s="8">
        <f t="shared" si="252"/>
        <v>0.48739423980856339</v>
      </c>
      <c r="E1296" s="11">
        <v>107716207</v>
      </c>
      <c r="F1296" s="10">
        <f>E1296/163516498</f>
        <v>0.6587482505893687</v>
      </c>
      <c r="G1296" s="11">
        <v>5998</v>
      </c>
      <c r="H1296" s="10">
        <f t="shared" si="253"/>
        <v>0.51260576019143667</v>
      </c>
      <c r="I1296" s="11">
        <v>55800291</v>
      </c>
      <c r="J1296" s="10">
        <f>I1296/163516498</f>
        <v>0.34125174941063136</v>
      </c>
      <c r="K1296" s="3" t="s">
        <v>10</v>
      </c>
    </row>
    <row r="1297" spans="1:11">
      <c r="A1297" s="3" t="s">
        <v>13</v>
      </c>
      <c r="B1297" s="20">
        <v>402</v>
      </c>
      <c r="C1297" s="7">
        <v>357</v>
      </c>
      <c r="D1297" s="8">
        <f t="shared" si="252"/>
        <v>0.88805970149253732</v>
      </c>
      <c r="E1297" s="11">
        <v>248695609</v>
      </c>
      <c r="F1297" s="10">
        <f>E1297/257110436</f>
        <v>0.96727154630160561</v>
      </c>
      <c r="G1297" s="11">
        <v>45</v>
      </c>
      <c r="H1297" s="10">
        <f t="shared" si="253"/>
        <v>0.11194029850746269</v>
      </c>
      <c r="I1297" s="11">
        <v>8414827</v>
      </c>
      <c r="J1297" s="10">
        <f>I1297/257110436</f>
        <v>3.2728453698394416E-2</v>
      </c>
    </row>
    <row r="1298" spans="1:11">
      <c r="A1298" s="3" t="s">
        <v>65</v>
      </c>
      <c r="B1298" s="20">
        <v>5477</v>
      </c>
      <c r="C1298" s="7">
        <v>709</v>
      </c>
      <c r="D1298" s="8">
        <f t="shared" si="252"/>
        <v>0.12945042906700749</v>
      </c>
      <c r="E1298" s="11">
        <v>76335</v>
      </c>
      <c r="F1298" s="10">
        <f>E1298/754088</f>
        <v>0.10122823861406095</v>
      </c>
      <c r="G1298" s="11">
        <v>4768</v>
      </c>
      <c r="H1298" s="10">
        <f t="shared" si="253"/>
        <v>0.87054957093299257</v>
      </c>
      <c r="I1298" s="11">
        <v>677753</v>
      </c>
      <c r="J1298" s="10">
        <f>I1298/754088</f>
        <v>0.89877176138593906</v>
      </c>
    </row>
    <row r="1299" spans="1:11" s="1" customFormat="1" ht="15.75">
      <c r="A1299" s="3"/>
      <c r="B1299" s="15">
        <f>SUM(B1294:B1298)</f>
        <v>620241</v>
      </c>
      <c r="C1299" s="16">
        <f>SUM(C1294:C1298)</f>
        <v>145661</v>
      </c>
      <c r="D1299" s="17">
        <f t="shared" si="252"/>
        <v>0.23484580993517037</v>
      </c>
      <c r="E1299" s="18">
        <f>SUM(E1294:E1298)</f>
        <v>445742121</v>
      </c>
      <c r="F1299" s="21">
        <f>E1299/781309303</f>
        <v>0.57050660895560845</v>
      </c>
      <c r="G1299" s="18">
        <f>SUM(G1294:G1298)</f>
        <v>474580</v>
      </c>
      <c r="H1299" s="17">
        <f t="shared" si="253"/>
        <v>0.76515419006482965</v>
      </c>
      <c r="I1299" s="18">
        <f>SUM(I1294:I1298)</f>
        <v>335567182</v>
      </c>
      <c r="J1299" s="21">
        <f>I1299/781309303</f>
        <v>0.42949339104439155</v>
      </c>
    </row>
    <row r="1300" spans="1:11" ht="15.75">
      <c r="A1300" s="1" t="s">
        <v>137</v>
      </c>
      <c r="B1300" s="3"/>
      <c r="J1300" s="3"/>
    </row>
    <row r="1301" spans="1:11" ht="15.75">
      <c r="A1301" s="1" t="s">
        <v>138</v>
      </c>
      <c r="B1301" s="2"/>
      <c r="C1301" s="2" t="s">
        <v>2</v>
      </c>
      <c r="D1301" s="2"/>
      <c r="E1301" s="2"/>
      <c r="F1301" s="2"/>
      <c r="G1301" s="2" t="s">
        <v>3</v>
      </c>
      <c r="H1301" s="2"/>
      <c r="I1301" s="2"/>
      <c r="J1301" s="2"/>
    </row>
    <row r="1302" spans="1:11">
      <c r="B1302" s="4" t="s">
        <v>4</v>
      </c>
      <c r="C1302" s="4" t="s">
        <v>5</v>
      </c>
      <c r="D1302" s="4"/>
      <c r="E1302" s="4" t="s">
        <v>6</v>
      </c>
      <c r="F1302" s="5"/>
      <c r="G1302" s="4" t="s">
        <v>7</v>
      </c>
      <c r="H1302" s="5"/>
      <c r="I1302" s="5" t="s">
        <v>6</v>
      </c>
      <c r="J1302" s="5"/>
      <c r="K1302" s="22"/>
    </row>
    <row r="1303" spans="1:11" ht="12.75" customHeight="1">
      <c r="B1303" s="4" t="s">
        <v>8</v>
      </c>
      <c r="C1303" s="4" t="s">
        <v>8</v>
      </c>
      <c r="D1303" s="4" t="s">
        <v>9</v>
      </c>
      <c r="E1303" s="4" t="s">
        <v>8</v>
      </c>
      <c r="F1303" s="5" t="s">
        <v>9</v>
      </c>
      <c r="G1303" s="5" t="s">
        <v>8</v>
      </c>
      <c r="H1303" s="5" t="s">
        <v>9</v>
      </c>
      <c r="I1303" s="5" t="s">
        <v>8</v>
      </c>
      <c r="J1303" s="5" t="s">
        <v>9</v>
      </c>
      <c r="K1303" s="1" t="s">
        <v>125</v>
      </c>
    </row>
    <row r="1304" spans="1:11"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1:11">
      <c r="A1305" s="3" t="s">
        <v>10</v>
      </c>
      <c r="B1305" s="6">
        <v>550153</v>
      </c>
      <c r="C1305" s="7">
        <v>131258</v>
      </c>
      <c r="D1305" s="8">
        <f t="shared" ref="D1305:D1310" si="254">C1305/B1305</f>
        <v>0.23858453921000158</v>
      </c>
      <c r="E1305" s="11">
        <v>91148349</v>
      </c>
      <c r="F1305" s="10">
        <f>E1305/336302332</f>
        <v>0.2710309751881233</v>
      </c>
      <c r="G1305" s="11">
        <v>418895</v>
      </c>
      <c r="H1305" s="10">
        <f t="shared" ref="H1305:H1310" si="255">G1305/B1305</f>
        <v>0.76141546078999844</v>
      </c>
      <c r="I1305" s="11">
        <v>245153983</v>
      </c>
      <c r="J1305" s="10">
        <f>I1305/336302332</f>
        <v>0.72896902481187675</v>
      </c>
    </row>
    <row r="1306" spans="1:11">
      <c r="A1306" s="3" t="s">
        <v>11</v>
      </c>
      <c r="B1306" s="20">
        <v>52198</v>
      </c>
      <c r="C1306" s="7">
        <v>16917</v>
      </c>
      <c r="D1306" s="8">
        <f t="shared" si="254"/>
        <v>0.3240928771217288</v>
      </c>
      <c r="E1306" s="11">
        <v>15016669</v>
      </c>
      <c r="F1306" s="10">
        <f>E1306/48326812</f>
        <v>0.31073162864539877</v>
      </c>
      <c r="G1306" s="11">
        <v>35281</v>
      </c>
      <c r="H1306" s="10">
        <f t="shared" si="255"/>
        <v>0.67590712287827115</v>
      </c>
      <c r="I1306" s="11">
        <v>33310143</v>
      </c>
      <c r="J1306" s="10">
        <f>I1306/48326812</f>
        <v>0.68926837135460128</v>
      </c>
    </row>
    <row r="1307" spans="1:11">
      <c r="A1307" s="3" t="s">
        <v>12</v>
      </c>
      <c r="B1307" s="20">
        <v>12030</v>
      </c>
      <c r="C1307" s="7">
        <v>5797</v>
      </c>
      <c r="D1307" s="8">
        <f t="shared" si="254"/>
        <v>0.48187863674147963</v>
      </c>
      <c r="E1307" s="11">
        <v>103362015</v>
      </c>
      <c r="F1307" s="10">
        <f>E1307/159925164</f>
        <v>0.64631489138257192</v>
      </c>
      <c r="G1307" s="11">
        <v>6233</v>
      </c>
      <c r="H1307" s="10">
        <f t="shared" si="255"/>
        <v>0.51812136325852032</v>
      </c>
      <c r="I1307" s="11">
        <v>56563149</v>
      </c>
      <c r="J1307" s="10">
        <f>I1307/159925164</f>
        <v>0.35368510861742808</v>
      </c>
      <c r="K1307" s="3" t="s">
        <v>10</v>
      </c>
    </row>
    <row r="1308" spans="1:11">
      <c r="A1308" s="3" t="s">
        <v>13</v>
      </c>
      <c r="B1308" s="20">
        <v>388</v>
      </c>
      <c r="C1308" s="7">
        <v>348</v>
      </c>
      <c r="D1308" s="8">
        <f t="shared" si="254"/>
        <v>0.89690721649484539</v>
      </c>
      <c r="E1308" s="11">
        <v>167875950</v>
      </c>
      <c r="F1308" s="10">
        <f>E1308/174211647</f>
        <v>0.9636321847069157</v>
      </c>
      <c r="G1308" s="11">
        <v>40</v>
      </c>
      <c r="H1308" s="10">
        <f t="shared" si="255"/>
        <v>0.10309278350515463</v>
      </c>
      <c r="I1308" s="11">
        <v>6335697</v>
      </c>
      <c r="J1308" s="10">
        <f>I1308/174211647</f>
        <v>3.6367815293084277E-2</v>
      </c>
    </row>
    <row r="1309" spans="1:11">
      <c r="A1309" s="3" t="s">
        <v>65</v>
      </c>
      <c r="B1309" s="20">
        <v>5093</v>
      </c>
      <c r="C1309" s="7">
        <v>813</v>
      </c>
      <c r="D1309" s="8">
        <f t="shared" si="254"/>
        <v>0.15963086589436482</v>
      </c>
      <c r="E1309" s="11">
        <v>117753</v>
      </c>
      <c r="F1309" s="10">
        <f>E1309/765660</f>
        <v>0.15379280620641014</v>
      </c>
      <c r="G1309" s="11">
        <v>4280</v>
      </c>
      <c r="H1309" s="10">
        <f t="shared" si="255"/>
        <v>0.84036913410563518</v>
      </c>
      <c r="I1309" s="11">
        <v>647907</v>
      </c>
      <c r="J1309" s="10">
        <f>I1309/765660</f>
        <v>0.84620719379358988</v>
      </c>
    </row>
    <row r="1310" spans="1:11" s="1" customFormat="1" ht="15.75">
      <c r="A1310" s="3"/>
      <c r="B1310" s="15">
        <f>SUM(B1305:B1309)</f>
        <v>619862</v>
      </c>
      <c r="C1310" s="16">
        <f>SUM(C1305:C1309)</f>
        <v>155133</v>
      </c>
      <c r="D1310" s="17">
        <f t="shared" si="254"/>
        <v>0.25027022143638422</v>
      </c>
      <c r="E1310" s="18">
        <f>SUM(E1305:E1309)</f>
        <v>377520736</v>
      </c>
      <c r="F1310" s="21">
        <f>E1310/719531615</f>
        <v>0.52467567530024373</v>
      </c>
      <c r="G1310" s="18">
        <f>SUM(G1305:G1309)</f>
        <v>464729</v>
      </c>
      <c r="H1310" s="17">
        <f t="shared" si="255"/>
        <v>0.74972977856361578</v>
      </c>
      <c r="I1310" s="18">
        <f>SUM(I1305:I1309)</f>
        <v>342010879</v>
      </c>
      <c r="J1310" s="21">
        <f>I1310/719531615</f>
        <v>0.47532432469975622</v>
      </c>
    </row>
    <row r="1311" spans="1:11" ht="15.75">
      <c r="A1311" s="1" t="s">
        <v>137</v>
      </c>
      <c r="B1311" s="3"/>
      <c r="J1311" s="3"/>
    </row>
    <row r="1312" spans="1:11" ht="15.75">
      <c r="A1312" s="1" t="s">
        <v>139</v>
      </c>
      <c r="B1312" s="2"/>
      <c r="C1312" s="2" t="s">
        <v>2</v>
      </c>
      <c r="D1312" s="2"/>
      <c r="E1312" s="2"/>
      <c r="F1312" s="2"/>
      <c r="G1312" s="2" t="s">
        <v>3</v>
      </c>
      <c r="H1312" s="2"/>
      <c r="I1312" s="2"/>
      <c r="J1312" s="2"/>
    </row>
    <row r="1313" spans="1:11">
      <c r="B1313" s="4" t="s">
        <v>4</v>
      </c>
      <c r="C1313" s="4" t="s">
        <v>5</v>
      </c>
      <c r="D1313" s="4"/>
      <c r="E1313" s="4" t="s">
        <v>6</v>
      </c>
      <c r="F1313" s="5"/>
      <c r="G1313" s="4" t="s">
        <v>7</v>
      </c>
      <c r="H1313" s="5"/>
      <c r="I1313" s="5" t="s">
        <v>6</v>
      </c>
      <c r="J1313" s="5"/>
      <c r="K1313" s="22"/>
    </row>
    <row r="1314" spans="1:11" ht="12.75" customHeight="1">
      <c r="B1314" s="4" t="s">
        <v>8</v>
      </c>
      <c r="C1314" s="4" t="s">
        <v>8</v>
      </c>
      <c r="D1314" s="4" t="s">
        <v>9</v>
      </c>
      <c r="E1314" s="4" t="s">
        <v>8</v>
      </c>
      <c r="F1314" s="5" t="s">
        <v>9</v>
      </c>
      <c r="G1314" s="5" t="s">
        <v>8</v>
      </c>
      <c r="H1314" s="5" t="s">
        <v>9</v>
      </c>
      <c r="I1314" s="5" t="s">
        <v>8</v>
      </c>
      <c r="J1314" s="5" t="s">
        <v>9</v>
      </c>
      <c r="K1314" s="1" t="s">
        <v>125</v>
      </c>
    </row>
    <row r="1315" spans="1:11"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1:11">
      <c r="A1316" s="3" t="s">
        <v>10</v>
      </c>
      <c r="B1316" s="6">
        <v>549794</v>
      </c>
      <c r="C1316" s="7">
        <v>131258</v>
      </c>
      <c r="D1316" s="8">
        <f t="shared" ref="D1316:D1321" si="256">C1316/B1316</f>
        <v>0.23874032819565147</v>
      </c>
      <c r="E1316" s="11">
        <v>91148349</v>
      </c>
      <c r="F1316" s="10">
        <f>E1316/357022258</f>
        <v>0.25530158682711596</v>
      </c>
      <c r="G1316" s="11">
        <v>418535</v>
      </c>
      <c r="H1316" s="10">
        <f t="shared" ref="H1316:H1321" si="257">G1316/B1316</f>
        <v>0.76125785294128345</v>
      </c>
      <c r="I1316" s="11">
        <v>265873909</v>
      </c>
      <c r="J1316" s="10">
        <f>I1316/357022258</f>
        <v>0.74469841317288399</v>
      </c>
    </row>
    <row r="1317" spans="1:11">
      <c r="A1317" s="3" t="s">
        <v>11</v>
      </c>
      <c r="B1317" s="20">
        <v>52225</v>
      </c>
      <c r="C1317" s="7">
        <v>17152</v>
      </c>
      <c r="D1317" s="8">
        <f t="shared" si="256"/>
        <v>0.3284250837721398</v>
      </c>
      <c r="E1317" s="11">
        <v>15612652</v>
      </c>
      <c r="F1317" s="10">
        <f>E1317/49336632</f>
        <v>0.31645151618780948</v>
      </c>
      <c r="G1317" s="11">
        <v>35072</v>
      </c>
      <c r="H1317" s="10">
        <f t="shared" si="257"/>
        <v>0.67155576831019625</v>
      </c>
      <c r="I1317" s="11">
        <v>33723980</v>
      </c>
      <c r="J1317" s="10">
        <f>I1317/49336632</f>
        <v>0.68354848381219047</v>
      </c>
    </row>
    <row r="1318" spans="1:11">
      <c r="A1318" s="3" t="s">
        <v>12</v>
      </c>
      <c r="B1318" s="20">
        <v>12030</v>
      </c>
      <c r="C1318" s="7">
        <v>5770</v>
      </c>
      <c r="D1318" s="8">
        <f t="shared" si="256"/>
        <v>0.47963424771404822</v>
      </c>
      <c r="E1318" s="11">
        <v>104967480</v>
      </c>
      <c r="F1318" s="10">
        <f>E1318/162782020</f>
        <v>0.6448346076550715</v>
      </c>
      <c r="G1318" s="11">
        <v>6260</v>
      </c>
      <c r="H1318" s="10">
        <f t="shared" si="257"/>
        <v>0.52036575228595183</v>
      </c>
      <c r="I1318" s="11">
        <v>57814540</v>
      </c>
      <c r="J1318" s="10">
        <f>I1318/162782020</f>
        <v>0.3551653923449285</v>
      </c>
      <c r="K1318" s="3" t="s">
        <v>10</v>
      </c>
    </row>
    <row r="1319" spans="1:11">
      <c r="A1319" s="3" t="s">
        <v>13</v>
      </c>
      <c r="B1319" s="20">
        <v>403</v>
      </c>
      <c r="C1319" s="7">
        <v>358</v>
      </c>
      <c r="D1319" s="8">
        <f t="shared" si="256"/>
        <v>0.88833746898263022</v>
      </c>
      <c r="E1319" s="11">
        <v>206296889</v>
      </c>
      <c r="F1319" s="10">
        <f>E1319/214294070</f>
        <v>0.9626812771813984</v>
      </c>
      <c r="G1319" s="11">
        <v>45</v>
      </c>
      <c r="H1319" s="10">
        <f t="shared" si="257"/>
        <v>0.11166253101736973</v>
      </c>
      <c r="I1319" s="11">
        <v>7997181</v>
      </c>
      <c r="J1319" s="10">
        <f>I1319/214294070</f>
        <v>3.731872281860156E-2</v>
      </c>
    </row>
    <row r="1320" spans="1:11">
      <c r="A1320" s="3" t="s">
        <v>65</v>
      </c>
      <c r="B1320" s="20">
        <v>5586</v>
      </c>
      <c r="C1320" s="7">
        <v>797</v>
      </c>
      <c r="D1320" s="8">
        <f t="shared" si="256"/>
        <v>0.14267812388113141</v>
      </c>
      <c r="E1320" s="11">
        <v>103539</v>
      </c>
      <c r="F1320" s="10">
        <f>E1320/778441</f>
        <v>0.13300815347598599</v>
      </c>
      <c r="G1320" s="11">
        <v>4789</v>
      </c>
      <c r="H1320" s="10">
        <f t="shared" si="257"/>
        <v>0.85732187611886856</v>
      </c>
      <c r="I1320" s="11">
        <v>674902</v>
      </c>
      <c r="J1320" s="10">
        <f>I1320/778441</f>
        <v>0.86699184652401406</v>
      </c>
    </row>
    <row r="1321" spans="1:11" s="1" customFormat="1" ht="15.75">
      <c r="A1321" s="3"/>
      <c r="B1321" s="15">
        <f>SUM(B1316:B1320)</f>
        <v>620038</v>
      </c>
      <c r="C1321" s="16">
        <f>SUM(C1316:C1320)</f>
        <v>155335</v>
      </c>
      <c r="D1321" s="17">
        <f t="shared" si="256"/>
        <v>0.25052496782455269</v>
      </c>
      <c r="E1321" s="18">
        <f>SUM(E1316:E1320)</f>
        <v>418128909</v>
      </c>
      <c r="F1321" s="21">
        <f>E1321/784213421</f>
        <v>0.53318254674450416</v>
      </c>
      <c r="G1321" s="18">
        <f>SUM(G1316:G1320)</f>
        <v>464701</v>
      </c>
      <c r="H1321" s="17">
        <f t="shared" si="257"/>
        <v>0.74947180656669432</v>
      </c>
      <c r="I1321" s="18">
        <f>SUM(I1316:I1320)</f>
        <v>366084512</v>
      </c>
      <c r="J1321" s="21">
        <f>I1321/784213421</f>
        <v>0.46681745325549584</v>
      </c>
    </row>
    <row r="1322" spans="1:11" ht="15.75">
      <c r="A1322" s="1" t="s">
        <v>137</v>
      </c>
      <c r="B1322" s="3"/>
      <c r="J1322" s="3"/>
    </row>
    <row r="1323" spans="1:11" ht="15.75">
      <c r="A1323" s="1" t="s">
        <v>140</v>
      </c>
      <c r="B1323" s="24"/>
      <c r="C1323" s="24" t="s">
        <v>2</v>
      </c>
      <c r="D1323" s="25"/>
      <c r="E1323" s="25"/>
      <c r="F1323" s="26"/>
      <c r="G1323" s="27" t="s">
        <v>3</v>
      </c>
      <c r="H1323" s="26"/>
      <c r="I1323" s="26"/>
      <c r="J1323" s="26"/>
    </row>
    <row r="1324" spans="1:11">
      <c r="B1324" s="4" t="s">
        <v>4</v>
      </c>
      <c r="C1324" s="4" t="s">
        <v>5</v>
      </c>
      <c r="D1324" s="4"/>
      <c r="E1324" s="4" t="s">
        <v>6</v>
      </c>
      <c r="F1324" s="5"/>
      <c r="G1324" s="4" t="s">
        <v>7</v>
      </c>
      <c r="H1324" s="5"/>
      <c r="I1324" s="5" t="s">
        <v>6</v>
      </c>
      <c r="J1324" s="5"/>
      <c r="K1324" s="22"/>
    </row>
    <row r="1325" spans="1:11" ht="12.75" customHeight="1">
      <c r="B1325" s="4" t="s">
        <v>8</v>
      </c>
      <c r="C1325" s="4" t="s">
        <v>8</v>
      </c>
      <c r="D1325" s="4" t="s">
        <v>9</v>
      </c>
      <c r="E1325" s="4" t="s">
        <v>8</v>
      </c>
      <c r="F1325" s="5" t="s">
        <v>9</v>
      </c>
      <c r="G1325" s="5" t="s">
        <v>8</v>
      </c>
      <c r="H1325" s="5" t="s">
        <v>9</v>
      </c>
      <c r="I1325" s="5" t="s">
        <v>8</v>
      </c>
      <c r="J1325" s="5" t="s">
        <v>9</v>
      </c>
      <c r="K1325" s="1" t="s">
        <v>125</v>
      </c>
    </row>
    <row r="1326" spans="1:11"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1:11">
      <c r="A1327" s="3" t="s">
        <v>10</v>
      </c>
      <c r="B1327" s="6">
        <v>549747</v>
      </c>
      <c r="C1327" s="7">
        <v>134410</v>
      </c>
      <c r="D1327" s="8">
        <f t="shared" ref="D1327:D1332" si="258">C1327/B1327</f>
        <v>0.24449428555317265</v>
      </c>
      <c r="E1327" s="11">
        <v>102046296</v>
      </c>
      <c r="F1327" s="10">
        <f>E1327/378733091</f>
        <v>0.2694411933495402</v>
      </c>
      <c r="G1327" s="11">
        <v>415337</v>
      </c>
      <c r="H1327" s="10">
        <f t="shared" ref="H1327:H1332" si="259">G1327/B1327</f>
        <v>0.75550571444682735</v>
      </c>
      <c r="I1327" s="11">
        <v>276686795</v>
      </c>
      <c r="J1327" s="10">
        <f>I1327/378733091</f>
        <v>0.7305588066504598</v>
      </c>
    </row>
    <row r="1328" spans="1:11">
      <c r="A1328" s="3" t="s">
        <v>11</v>
      </c>
      <c r="B1328" s="20">
        <v>52203</v>
      </c>
      <c r="C1328" s="7">
        <v>17244</v>
      </c>
      <c r="D1328" s="8">
        <f t="shared" si="258"/>
        <v>0.33032584334233667</v>
      </c>
      <c r="E1328" s="11">
        <v>16332716</v>
      </c>
      <c r="F1328" s="10">
        <f>E1328/50445052</f>
        <v>0.32377240883803626</v>
      </c>
      <c r="G1328" s="11">
        <v>34959</v>
      </c>
      <c r="H1328" s="10">
        <f t="shared" si="259"/>
        <v>0.66967415665766339</v>
      </c>
      <c r="I1328" s="11">
        <v>34112336</v>
      </c>
      <c r="J1328" s="10">
        <f>I1328/50445052</f>
        <v>0.67622759116196374</v>
      </c>
    </row>
    <row r="1329" spans="1:11">
      <c r="A1329" s="3" t="s">
        <v>12</v>
      </c>
      <c r="B1329" s="20">
        <v>12061</v>
      </c>
      <c r="C1329" s="7">
        <v>5691</v>
      </c>
      <c r="D1329" s="8">
        <f t="shared" si="258"/>
        <v>0.4718514219384794</v>
      </c>
      <c r="E1329" s="11">
        <v>108562658</v>
      </c>
      <c r="F1329" s="10">
        <f>E1329/170670121</f>
        <v>0.63609644947752741</v>
      </c>
      <c r="G1329" s="11">
        <v>6370</v>
      </c>
      <c r="H1329" s="10">
        <f t="shared" si="259"/>
        <v>0.5281485780615206</v>
      </c>
      <c r="I1329" s="11">
        <v>62107463</v>
      </c>
      <c r="J1329" s="10">
        <f>I1329/170670121</f>
        <v>0.36390355052247253</v>
      </c>
      <c r="K1329" s="3" t="s">
        <v>10</v>
      </c>
    </row>
    <row r="1330" spans="1:11">
      <c r="A1330" s="3" t="s">
        <v>13</v>
      </c>
      <c r="B1330" s="20">
        <v>399</v>
      </c>
      <c r="C1330" s="7">
        <v>351</v>
      </c>
      <c r="D1330" s="8">
        <f t="shared" si="258"/>
        <v>0.87969924812030076</v>
      </c>
      <c r="E1330" s="11">
        <v>233660952</v>
      </c>
      <c r="F1330" s="10">
        <f>E1330/240644884</f>
        <v>0.97097826521838715</v>
      </c>
      <c r="G1330" s="11">
        <v>48</v>
      </c>
      <c r="H1330" s="10">
        <f t="shared" si="259"/>
        <v>0.12030075187969924</v>
      </c>
      <c r="I1330" s="11">
        <v>6983932</v>
      </c>
      <c r="J1330" s="10">
        <f>I1330/240644884</f>
        <v>2.9021734781612893E-2</v>
      </c>
    </row>
    <row r="1331" spans="1:11">
      <c r="A1331" s="3" t="s">
        <v>65</v>
      </c>
      <c r="B1331" s="20">
        <v>5581</v>
      </c>
      <c r="C1331" s="7">
        <v>813</v>
      </c>
      <c r="D1331" s="8">
        <f t="shared" si="258"/>
        <v>0.14567281849130981</v>
      </c>
      <c r="E1331" s="11">
        <v>117753</v>
      </c>
      <c r="F1331" s="10">
        <f>E1331/775425</f>
        <v>0.15185607892446079</v>
      </c>
      <c r="G1331" s="11">
        <v>4768</v>
      </c>
      <c r="H1331" s="10">
        <f t="shared" si="259"/>
        <v>0.85432718150869025</v>
      </c>
      <c r="I1331" s="11">
        <v>657672</v>
      </c>
      <c r="J1331" s="10">
        <f>I1331/775425</f>
        <v>0.84814392107553926</v>
      </c>
    </row>
    <row r="1332" spans="1:11" s="1" customFormat="1" ht="15.75">
      <c r="A1332" s="3"/>
      <c r="B1332" s="15">
        <f>SUM(B1327:B1331)</f>
        <v>619991</v>
      </c>
      <c r="C1332" s="16">
        <f>SUM(C1327:C1331)</f>
        <v>158509</v>
      </c>
      <c r="D1332" s="17">
        <f t="shared" si="258"/>
        <v>0.25566338866209348</v>
      </c>
      <c r="E1332" s="18">
        <f>SUM(E1327:E1331)</f>
        <v>460720375</v>
      </c>
      <c r="F1332" s="21">
        <f>E1332/841268573</f>
        <v>0.54764957325940666</v>
      </c>
      <c r="G1332" s="18">
        <f>SUM(G1327:G1331)</f>
        <v>461482</v>
      </c>
      <c r="H1332" s="17">
        <f t="shared" si="259"/>
        <v>0.74433661133790652</v>
      </c>
      <c r="I1332" s="18">
        <f>SUM(I1327:I1331)</f>
        <v>380548198</v>
      </c>
      <c r="J1332" s="21">
        <f>I1332/841268573</f>
        <v>0.45235042674059334</v>
      </c>
    </row>
    <row r="1333" spans="1:11" ht="15.75">
      <c r="A1333" s="1" t="s">
        <v>137</v>
      </c>
      <c r="B1333" s="3"/>
      <c r="J1333" s="3"/>
    </row>
    <row r="1334" spans="1:11" ht="15.75">
      <c r="A1334" s="1" t="s">
        <v>141</v>
      </c>
      <c r="B1334" s="24"/>
      <c r="C1334" s="24" t="s">
        <v>2</v>
      </c>
      <c r="D1334" s="25"/>
      <c r="E1334" s="25"/>
      <c r="F1334" s="26"/>
      <c r="G1334" s="27" t="s">
        <v>3</v>
      </c>
      <c r="H1334" s="26"/>
      <c r="I1334" s="26"/>
      <c r="J1334" s="26"/>
    </row>
    <row r="1335" spans="1:11">
      <c r="B1335" s="4" t="s">
        <v>4</v>
      </c>
      <c r="C1335" s="4" t="s">
        <v>5</v>
      </c>
      <c r="D1335" s="4"/>
      <c r="E1335" s="4" t="s">
        <v>6</v>
      </c>
      <c r="F1335" s="5"/>
      <c r="G1335" s="4" t="s">
        <v>7</v>
      </c>
      <c r="H1335" s="5"/>
      <c r="I1335" s="5" t="s">
        <v>6</v>
      </c>
      <c r="J1335" s="5"/>
      <c r="K1335" s="22"/>
    </row>
    <row r="1336" spans="1:11" ht="12.75" customHeight="1">
      <c r="B1336" s="4" t="s">
        <v>8</v>
      </c>
      <c r="C1336" s="4" t="s">
        <v>8</v>
      </c>
      <c r="D1336" s="4" t="s">
        <v>9</v>
      </c>
      <c r="E1336" s="4" t="s">
        <v>8</v>
      </c>
      <c r="F1336" s="5" t="s">
        <v>9</v>
      </c>
      <c r="G1336" s="5" t="s">
        <v>8</v>
      </c>
      <c r="H1336" s="5" t="s">
        <v>9</v>
      </c>
      <c r="I1336" s="5" t="s">
        <v>8</v>
      </c>
      <c r="J1336" s="5" t="s">
        <v>9</v>
      </c>
      <c r="K1336" s="1" t="s">
        <v>125</v>
      </c>
    </row>
    <row r="1337" spans="1:11"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1:11">
      <c r="A1338" s="3" t="s">
        <v>10</v>
      </c>
      <c r="B1338" s="6">
        <v>549517</v>
      </c>
      <c r="C1338" s="7">
        <v>140991</v>
      </c>
      <c r="D1338" s="8">
        <f t="shared" ref="D1338:D1343" si="260">C1338/B1338</f>
        <v>0.25657259011095196</v>
      </c>
      <c r="E1338" s="11">
        <v>97145177</v>
      </c>
      <c r="F1338" s="10">
        <f>E1338/336567867</f>
        <v>0.28863473469973294</v>
      </c>
      <c r="G1338" s="11">
        <v>408526</v>
      </c>
      <c r="H1338" s="10">
        <f>G1338/B1338</f>
        <v>0.74342740988904799</v>
      </c>
      <c r="I1338" s="11">
        <v>239422690</v>
      </c>
      <c r="J1338" s="10">
        <f>I1338/336567867</f>
        <v>0.71136526530026711</v>
      </c>
    </row>
    <row r="1339" spans="1:11">
      <c r="A1339" s="3" t="s">
        <v>11</v>
      </c>
      <c r="B1339" s="20">
        <v>52054</v>
      </c>
      <c r="C1339" s="7">
        <v>17838</v>
      </c>
      <c r="D1339" s="8">
        <f t="shared" si="260"/>
        <v>0.34268259883966651</v>
      </c>
      <c r="E1339" s="11">
        <v>15700665</v>
      </c>
      <c r="F1339" s="10">
        <f>E1339/45894303</f>
        <v>0.34210487955335112</v>
      </c>
      <c r="G1339" s="11">
        <v>34216</v>
      </c>
      <c r="H1339" s="10">
        <f>G1339/B1339</f>
        <v>0.65731740116033355</v>
      </c>
      <c r="I1339" s="11">
        <v>30193638</v>
      </c>
      <c r="J1339" s="10">
        <f>I1339/45894303</f>
        <v>0.65789512044664888</v>
      </c>
    </row>
    <row r="1340" spans="1:11">
      <c r="A1340" s="3" t="s">
        <v>12</v>
      </c>
      <c r="B1340" s="20">
        <v>12299</v>
      </c>
      <c r="C1340" s="7">
        <v>5591</v>
      </c>
      <c r="D1340" s="8">
        <f t="shared" si="260"/>
        <v>0.4545898040491097</v>
      </c>
      <c r="E1340" s="11">
        <v>104250801</v>
      </c>
      <c r="F1340" s="10">
        <f>E1340/165501936</f>
        <v>0.62990683686020443</v>
      </c>
      <c r="G1340" s="11">
        <v>6708</v>
      </c>
      <c r="H1340" s="10">
        <f>G1340/B1340</f>
        <v>0.54541019595089035</v>
      </c>
      <c r="I1340" s="11">
        <v>61251135</v>
      </c>
      <c r="J1340" s="10">
        <f>I1340/165501936</f>
        <v>0.37009316313979551</v>
      </c>
      <c r="K1340" s="3" t="s">
        <v>10</v>
      </c>
    </row>
    <row r="1341" spans="1:11">
      <c r="A1341" s="3" t="s">
        <v>13</v>
      </c>
      <c r="B1341" s="20">
        <v>399</v>
      </c>
      <c r="C1341" s="7">
        <v>346</v>
      </c>
      <c r="D1341" s="8">
        <f t="shared" si="260"/>
        <v>0.8671679197994987</v>
      </c>
      <c r="E1341" s="11">
        <v>239366717</v>
      </c>
      <c r="F1341" s="10">
        <f>E1341/249433007</f>
        <v>0.95964331216197063</v>
      </c>
      <c r="G1341" s="11">
        <v>53</v>
      </c>
      <c r="H1341" s="10">
        <f>G1341/B1341</f>
        <v>0.13283208020050125</v>
      </c>
      <c r="I1341" s="11">
        <v>10066290</v>
      </c>
      <c r="J1341" s="10">
        <f>I1341/249433007</f>
        <v>4.0356687838029391E-2</v>
      </c>
    </row>
    <row r="1342" spans="1:11">
      <c r="A1342" s="3" t="s">
        <v>65</v>
      </c>
      <c r="B1342" s="20">
        <v>5580</v>
      </c>
      <c r="C1342" s="7">
        <v>851</v>
      </c>
      <c r="D1342" s="8">
        <f t="shared" si="260"/>
        <v>0.15250896057347671</v>
      </c>
      <c r="E1342" s="11">
        <v>117572</v>
      </c>
      <c r="F1342" s="10">
        <f>E1342/773434</f>
        <v>0.15201297072536246</v>
      </c>
      <c r="G1342" s="11">
        <v>4729</v>
      </c>
      <c r="H1342" s="10">
        <f>G1342/B1342</f>
        <v>0.84749103942652326</v>
      </c>
      <c r="I1342" s="11">
        <v>655862</v>
      </c>
      <c r="J1342" s="10">
        <f>I1342/773434</f>
        <v>0.84798702927463754</v>
      </c>
    </row>
    <row r="1343" spans="1:11" s="1" customFormat="1" ht="15.75">
      <c r="A1343" s="3"/>
      <c r="B1343" s="15">
        <f>SUM(B1338:B1342)</f>
        <v>619849</v>
      </c>
      <c r="C1343" s="16">
        <f>SUM(C1338:C1342)</f>
        <v>165617</v>
      </c>
      <c r="D1343" s="17">
        <f t="shared" si="260"/>
        <v>0.26718926706342999</v>
      </c>
      <c r="E1343" s="18">
        <f>SUM(E1338:E1342)</f>
        <v>456580932</v>
      </c>
      <c r="F1343" s="21">
        <f>E1343/798170547</f>
        <v>0.57203430233814423</v>
      </c>
      <c r="G1343" s="18">
        <f>SUM(G1338:G1342)</f>
        <v>454232</v>
      </c>
      <c r="H1343" s="21">
        <v>0.73280000000000001</v>
      </c>
      <c r="I1343" s="18">
        <f>SUM(I1338:I1342)</f>
        <v>341589615</v>
      </c>
      <c r="J1343" s="21">
        <f>I1343/798170547</f>
        <v>0.42796569766185572</v>
      </c>
    </row>
    <row r="1344" spans="1:11" ht="15.75">
      <c r="A1344" s="1" t="s">
        <v>137</v>
      </c>
      <c r="B1344" s="3"/>
      <c r="J1344" s="3"/>
    </row>
    <row r="1345" spans="1:13" ht="15.75">
      <c r="A1345" s="1" t="s">
        <v>142</v>
      </c>
      <c r="B1345" s="24"/>
      <c r="C1345" s="24" t="s">
        <v>2</v>
      </c>
      <c r="D1345" s="25"/>
      <c r="E1345" s="25"/>
      <c r="F1345" s="26"/>
      <c r="G1345" s="27" t="s">
        <v>3</v>
      </c>
      <c r="H1345" s="26"/>
      <c r="I1345" s="26"/>
      <c r="J1345" s="26"/>
    </row>
    <row r="1346" spans="1:13">
      <c r="B1346" s="4" t="s">
        <v>4</v>
      </c>
      <c r="C1346" s="4" t="s">
        <v>5</v>
      </c>
      <c r="D1346" s="4"/>
      <c r="E1346" s="4" t="s">
        <v>6</v>
      </c>
      <c r="F1346" s="5"/>
      <c r="G1346" s="4" t="s">
        <v>7</v>
      </c>
      <c r="H1346" s="5"/>
      <c r="I1346" s="5" t="s">
        <v>6</v>
      </c>
      <c r="J1346" s="5"/>
      <c r="K1346" s="22"/>
    </row>
    <row r="1347" spans="1:13" ht="12.75" customHeight="1">
      <c r="B1347" s="4" t="s">
        <v>8</v>
      </c>
      <c r="C1347" s="4" t="s">
        <v>8</v>
      </c>
      <c r="D1347" s="4" t="s">
        <v>9</v>
      </c>
      <c r="E1347" s="4" t="s">
        <v>8</v>
      </c>
      <c r="F1347" s="5" t="s">
        <v>9</v>
      </c>
      <c r="G1347" s="5" t="s">
        <v>8</v>
      </c>
      <c r="H1347" s="5" t="s">
        <v>9</v>
      </c>
      <c r="I1347" s="5" t="s">
        <v>8</v>
      </c>
      <c r="J1347" s="5" t="s">
        <v>9</v>
      </c>
      <c r="K1347" s="1" t="s">
        <v>125</v>
      </c>
    </row>
    <row r="1348" spans="1:13"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1:13">
      <c r="A1349" s="3" t="s">
        <v>10</v>
      </c>
      <c r="B1349" s="6">
        <v>549165</v>
      </c>
      <c r="C1349" s="7">
        <v>143839</v>
      </c>
      <c r="D1349" s="8">
        <f t="shared" ref="D1349:D1354" si="261">C1349/B1349</f>
        <v>0.26192310143581621</v>
      </c>
      <c r="E1349" s="11">
        <v>82093352</v>
      </c>
      <c r="F1349" s="10">
        <f>E1349/275279259</f>
        <v>0.29821844296667482</v>
      </c>
      <c r="G1349" s="11">
        <v>405326</v>
      </c>
      <c r="H1349" s="10">
        <f t="shared" ref="H1349:H1354" si="262">G1349/B1349</f>
        <v>0.73807689856418379</v>
      </c>
      <c r="I1349" s="11">
        <v>193185907</v>
      </c>
      <c r="J1349" s="10">
        <f>I1349/275279259</f>
        <v>0.70178155703332523</v>
      </c>
    </row>
    <row r="1350" spans="1:13">
      <c r="A1350" s="3" t="s">
        <v>11</v>
      </c>
      <c r="B1350" s="20">
        <v>51774</v>
      </c>
      <c r="C1350" s="7">
        <v>18379</v>
      </c>
      <c r="D1350" s="8">
        <f t="shared" si="261"/>
        <v>0.35498512767025919</v>
      </c>
      <c r="E1350" s="11">
        <v>14130608</v>
      </c>
      <c r="F1350" s="10">
        <f>E1350/39218812</f>
        <v>0.36030178578586214</v>
      </c>
      <c r="G1350" s="11">
        <v>33395</v>
      </c>
      <c r="H1350" s="10">
        <f t="shared" si="262"/>
        <v>0.64501487232974075</v>
      </c>
      <c r="I1350" s="11">
        <v>25088204</v>
      </c>
      <c r="J1350" s="10">
        <f>I1350/39218812</f>
        <v>0.63969821421413786</v>
      </c>
    </row>
    <row r="1351" spans="1:13">
      <c r="A1351" s="3" t="s">
        <v>12</v>
      </c>
      <c r="B1351" s="20">
        <v>12410</v>
      </c>
      <c r="C1351" s="7">
        <v>5544</v>
      </c>
      <c r="D1351" s="8">
        <f t="shared" si="261"/>
        <v>0.44673650282030619</v>
      </c>
      <c r="E1351" s="11">
        <v>94879394</v>
      </c>
      <c r="F1351" s="10">
        <f>E1351/153433258</f>
        <v>0.61837567185075348</v>
      </c>
      <c r="G1351" s="11">
        <v>6866</v>
      </c>
      <c r="H1351" s="10">
        <f t="shared" si="262"/>
        <v>0.55326349717969381</v>
      </c>
      <c r="I1351" s="11">
        <v>58553864</v>
      </c>
      <c r="J1351" s="10">
        <f>I1351/153433258</f>
        <v>0.38162432814924652</v>
      </c>
      <c r="K1351" s="3" t="s">
        <v>10</v>
      </c>
    </row>
    <row r="1352" spans="1:13">
      <c r="A1352" s="3" t="s">
        <v>13</v>
      </c>
      <c r="B1352" s="20">
        <v>401</v>
      </c>
      <c r="C1352" s="7">
        <v>344</v>
      </c>
      <c r="D1352" s="8">
        <f t="shared" si="261"/>
        <v>0.85785536159600995</v>
      </c>
      <c r="E1352" s="11">
        <v>261172950</v>
      </c>
      <c r="F1352" s="10">
        <f>E1352/272440373</f>
        <v>0.95864260911138899</v>
      </c>
      <c r="G1352" s="11">
        <v>57</v>
      </c>
      <c r="H1352" s="10">
        <f t="shared" si="262"/>
        <v>0.14214463840399003</v>
      </c>
      <c r="I1352" s="11">
        <v>11267423</v>
      </c>
      <c r="J1352" s="10">
        <f>I1352/272440373</f>
        <v>4.1357390888611067E-2</v>
      </c>
    </row>
    <row r="1353" spans="1:13">
      <c r="A1353" s="3" t="s">
        <v>65</v>
      </c>
      <c r="B1353" s="20">
        <v>5576</v>
      </c>
      <c r="C1353" s="7">
        <v>882</v>
      </c>
      <c r="D1353" s="8">
        <f t="shared" si="261"/>
        <v>0.15817790530846484</v>
      </c>
      <c r="E1353" s="11">
        <v>115656</v>
      </c>
      <c r="F1353" s="10">
        <f>E1353/780634</f>
        <v>0.14815649843588674</v>
      </c>
      <c r="G1353" s="11">
        <v>4694</v>
      </c>
      <c r="H1353" s="10">
        <f t="shared" si="262"/>
        <v>0.84182209469153513</v>
      </c>
      <c r="I1353" s="11">
        <v>664978</v>
      </c>
      <c r="J1353" s="10">
        <f>I1353/780634</f>
        <v>0.85184350156411326</v>
      </c>
    </row>
    <row r="1354" spans="1:13" s="1" customFormat="1" ht="15.75">
      <c r="A1354" s="3"/>
      <c r="B1354" s="15">
        <f>SUM(B1349:B1353)</f>
        <v>619326</v>
      </c>
      <c r="C1354" s="16">
        <f>SUM(C1349:C1353)</f>
        <v>168988</v>
      </c>
      <c r="D1354" s="17">
        <f t="shared" si="261"/>
        <v>0.27285791327992043</v>
      </c>
      <c r="E1354" s="18">
        <f>SUM(E1349:E1353)</f>
        <v>452391960</v>
      </c>
      <c r="F1354" s="21">
        <f>E1354/741152336</f>
        <v>0.61038998060987015</v>
      </c>
      <c r="G1354" s="18">
        <f>SUM(G1349:G1353)</f>
        <v>450338</v>
      </c>
      <c r="H1354" s="21">
        <f t="shared" si="262"/>
        <v>0.72714208672007952</v>
      </c>
      <c r="I1354" s="18">
        <f>SUM(I1349:I1353)</f>
        <v>288760376</v>
      </c>
      <c r="J1354" s="21">
        <f>I1354/741152336</f>
        <v>0.38961001939012979</v>
      </c>
    </row>
    <row r="1355" spans="1:13" ht="15.75">
      <c r="A1355" s="1" t="s">
        <v>137</v>
      </c>
      <c r="B1355" s="3"/>
      <c r="J1355" s="3"/>
      <c r="M1355" s="19"/>
    </row>
    <row r="1356" spans="1:13" ht="15.75">
      <c r="A1356" s="1" t="s">
        <v>143</v>
      </c>
      <c r="B1356" s="24"/>
      <c r="C1356" s="24" t="s">
        <v>2</v>
      </c>
      <c r="D1356" s="25"/>
      <c r="E1356" s="25"/>
      <c r="F1356" s="26"/>
      <c r="G1356" s="27" t="s">
        <v>3</v>
      </c>
      <c r="H1356" s="26"/>
      <c r="I1356" s="26"/>
      <c r="J1356" s="26"/>
    </row>
    <row r="1357" spans="1:13">
      <c r="B1357" s="4" t="s">
        <v>4</v>
      </c>
      <c r="C1357" s="4" t="s">
        <v>5</v>
      </c>
      <c r="D1357" s="4"/>
      <c r="E1357" s="4" t="s">
        <v>6</v>
      </c>
      <c r="F1357" s="5"/>
      <c r="G1357" s="4" t="s">
        <v>7</v>
      </c>
      <c r="H1357" s="5"/>
      <c r="I1357" s="5" t="s">
        <v>6</v>
      </c>
      <c r="J1357" s="5"/>
      <c r="K1357" s="22"/>
    </row>
    <row r="1358" spans="1:13" ht="12.75" customHeight="1">
      <c r="B1358" s="4" t="s">
        <v>8</v>
      </c>
      <c r="C1358" s="4" t="s">
        <v>8</v>
      </c>
      <c r="D1358" s="4" t="s">
        <v>9</v>
      </c>
      <c r="E1358" s="4" t="s">
        <v>8</v>
      </c>
      <c r="F1358" s="5" t="s">
        <v>9</v>
      </c>
      <c r="G1358" s="5" t="s">
        <v>8</v>
      </c>
      <c r="H1358" s="5" t="s">
        <v>9</v>
      </c>
      <c r="I1358" s="5" t="s">
        <v>8</v>
      </c>
      <c r="J1358" s="5" t="s">
        <v>9</v>
      </c>
      <c r="K1358" s="1" t="s">
        <v>125</v>
      </c>
    </row>
    <row r="1359" spans="1:13"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1:13">
      <c r="A1360" s="3" t="s">
        <v>10</v>
      </c>
      <c r="B1360" s="6">
        <v>548732</v>
      </c>
      <c r="C1360" s="7">
        <v>146726</v>
      </c>
      <c r="D1360" s="8">
        <f t="shared" ref="D1360:D1365" si="263">C1360/B1360</f>
        <v>0.26739100325842124</v>
      </c>
      <c r="E1360" s="11">
        <v>79692873</v>
      </c>
      <c r="F1360" s="10">
        <f>E1360/259973500</f>
        <v>0.30654229373378439</v>
      </c>
      <c r="G1360" s="11">
        <v>402006</v>
      </c>
      <c r="H1360" s="10">
        <f t="shared" ref="H1360:H1365" si="264">G1360/B1360</f>
        <v>0.73260899674157876</v>
      </c>
      <c r="I1360" s="11">
        <v>180280627</v>
      </c>
      <c r="J1360" s="10">
        <f>I1360/259973500</f>
        <v>0.69345770626621561</v>
      </c>
    </row>
    <row r="1361" spans="1:11">
      <c r="A1361" s="3" t="s">
        <v>11</v>
      </c>
      <c r="B1361" s="20">
        <v>51920</v>
      </c>
      <c r="C1361" s="7">
        <v>18574</v>
      </c>
      <c r="D1361" s="8">
        <f t="shared" si="263"/>
        <v>0.3577426810477658</v>
      </c>
      <c r="E1361" s="11">
        <v>14465253</v>
      </c>
      <c r="F1361" s="10">
        <f>E1361/39843236</f>
        <v>0.36305417059999845</v>
      </c>
      <c r="G1361" s="11">
        <v>33346</v>
      </c>
      <c r="H1361" s="10">
        <f t="shared" si="264"/>
        <v>0.64225731895223426</v>
      </c>
      <c r="I1361" s="11">
        <v>25377893</v>
      </c>
      <c r="J1361" s="10">
        <f>I1361/39843236</f>
        <v>0.63694357054733208</v>
      </c>
    </row>
    <row r="1362" spans="1:11">
      <c r="A1362" s="3" t="s">
        <v>12</v>
      </c>
      <c r="B1362" s="20">
        <v>12515</v>
      </c>
      <c r="C1362" s="7">
        <v>5623</v>
      </c>
      <c r="D1362" s="8">
        <f t="shared" si="263"/>
        <v>0.44930083899320816</v>
      </c>
      <c r="E1362" s="11">
        <v>99983406</v>
      </c>
      <c r="F1362" s="10">
        <f>E1362/163122723</f>
        <v>0.61293364996120125</v>
      </c>
      <c r="G1362" s="11">
        <v>6892</v>
      </c>
      <c r="H1362" s="10">
        <f t="shared" si="264"/>
        <v>0.55069916100679184</v>
      </c>
      <c r="I1362" s="11">
        <v>63139317</v>
      </c>
      <c r="J1362" s="10">
        <f>I1362/163122723</f>
        <v>0.38706635003879869</v>
      </c>
      <c r="K1362" s="3" t="s">
        <v>10</v>
      </c>
    </row>
    <row r="1363" spans="1:11">
      <c r="A1363" s="3" t="s">
        <v>13</v>
      </c>
      <c r="B1363" s="20">
        <v>401</v>
      </c>
      <c r="C1363" s="7">
        <v>350</v>
      </c>
      <c r="D1363" s="8">
        <f t="shared" si="263"/>
        <v>0.87281795511221949</v>
      </c>
      <c r="E1363" s="11">
        <v>272951313</v>
      </c>
      <c r="F1363" s="10">
        <f>E1363/283869711</f>
        <v>0.96153729131037868</v>
      </c>
      <c r="G1363" s="11">
        <v>51</v>
      </c>
      <c r="H1363" s="10">
        <f t="shared" si="264"/>
        <v>0.12718204488778054</v>
      </c>
      <c r="I1363" s="11">
        <v>10918398</v>
      </c>
      <c r="J1363" s="10">
        <f>I1363/283869711</f>
        <v>3.8462708689621344E-2</v>
      </c>
    </row>
    <row r="1364" spans="1:11">
      <c r="A1364" s="3" t="s">
        <v>65</v>
      </c>
      <c r="B1364" s="20">
        <v>5607</v>
      </c>
      <c r="C1364" s="7">
        <v>894</v>
      </c>
      <c r="D1364" s="8">
        <f t="shared" si="263"/>
        <v>0.15944355270197966</v>
      </c>
      <c r="E1364" s="11">
        <v>104985</v>
      </c>
      <c r="F1364" s="10">
        <f>E1364/781923</f>
        <v>0.13426513863897085</v>
      </c>
      <c r="G1364" s="11">
        <v>4713</v>
      </c>
      <c r="H1364" s="10">
        <f t="shared" si="264"/>
        <v>0.84055644729802037</v>
      </c>
      <c r="I1364" s="11">
        <v>676938</v>
      </c>
      <c r="J1364" s="10">
        <f>I1364/781923</f>
        <v>0.86573486136102917</v>
      </c>
    </row>
    <row r="1365" spans="1:11" s="1" customFormat="1" ht="15.75">
      <c r="A1365" s="3"/>
      <c r="B1365" s="15">
        <f>SUM(B1360:B1364)</f>
        <v>619175</v>
      </c>
      <c r="C1365" s="16">
        <f>SUM(C1360:C1364)</f>
        <v>172167</v>
      </c>
      <c r="D1365" s="17">
        <f t="shared" si="263"/>
        <v>0.27805870715064401</v>
      </c>
      <c r="E1365" s="18">
        <f>SUM(E1360:E1364)</f>
        <v>467197830</v>
      </c>
      <c r="F1365" s="21">
        <f>E1365/831263037</f>
        <v>0.56203368753902627</v>
      </c>
      <c r="G1365" s="18">
        <f>SUM(G1360:G1364)</f>
        <v>447008</v>
      </c>
      <c r="H1365" s="21">
        <f t="shared" si="264"/>
        <v>0.72194129284935604</v>
      </c>
      <c r="I1365" s="18">
        <f>SUM(I1360:I1364)</f>
        <v>280393173</v>
      </c>
      <c r="J1365" s="21">
        <f>I1365/831263037</f>
        <v>0.33730980510324315</v>
      </c>
    </row>
    <row r="1366" spans="1:11" ht="15.75">
      <c r="A1366" s="1" t="s">
        <v>137</v>
      </c>
      <c r="B1366" s="3"/>
      <c r="J1366" s="3"/>
    </row>
    <row r="1367" spans="1:11" ht="15.75">
      <c r="A1367" s="1" t="s">
        <v>144</v>
      </c>
      <c r="B1367" s="24"/>
      <c r="C1367" s="24" t="s">
        <v>2</v>
      </c>
      <c r="D1367" s="25"/>
      <c r="E1367" s="25"/>
      <c r="F1367" s="26"/>
      <c r="G1367" s="27" t="s">
        <v>3</v>
      </c>
      <c r="H1367" s="26"/>
      <c r="I1367" s="26"/>
      <c r="J1367" s="26"/>
    </row>
    <row r="1368" spans="1:11">
      <c r="B1368" s="4" t="s">
        <v>4</v>
      </c>
      <c r="C1368" s="4" t="s">
        <v>5</v>
      </c>
      <c r="D1368" s="4"/>
      <c r="E1368" s="4" t="s">
        <v>6</v>
      </c>
      <c r="F1368" s="5"/>
      <c r="G1368" s="4" t="s">
        <v>7</v>
      </c>
      <c r="H1368" s="5"/>
      <c r="I1368" s="5" t="s">
        <v>6</v>
      </c>
      <c r="J1368" s="5"/>
      <c r="K1368" s="22"/>
    </row>
    <row r="1369" spans="1:11" ht="12.75" customHeight="1">
      <c r="B1369" s="4" t="s">
        <v>8</v>
      </c>
      <c r="C1369" s="4" t="s">
        <v>8</v>
      </c>
      <c r="D1369" s="4" t="s">
        <v>9</v>
      </c>
      <c r="E1369" s="4" t="s">
        <v>8</v>
      </c>
      <c r="F1369" s="5" t="s">
        <v>9</v>
      </c>
      <c r="G1369" s="5" t="s">
        <v>8</v>
      </c>
      <c r="H1369" s="5" t="s">
        <v>9</v>
      </c>
      <c r="I1369" s="5" t="s">
        <v>8</v>
      </c>
      <c r="J1369" s="5" t="s">
        <v>9</v>
      </c>
      <c r="K1369" s="1" t="s">
        <v>125</v>
      </c>
    </row>
    <row r="1370" spans="1:11"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1:11">
      <c r="A1371" s="3" t="s">
        <v>10</v>
      </c>
      <c r="B1371" s="6">
        <v>548162</v>
      </c>
      <c r="C1371" s="7">
        <v>149293</v>
      </c>
      <c r="D1371" s="8">
        <f t="shared" ref="D1371:D1376" si="265">C1371/B1371</f>
        <v>0.27235196894348751</v>
      </c>
      <c r="E1371" s="11">
        <v>92692199</v>
      </c>
      <c r="F1371" s="10">
        <f>E1371/294405339</f>
        <v>0.31484550964614127</v>
      </c>
      <c r="G1371" s="11">
        <v>398869</v>
      </c>
      <c r="H1371" s="10">
        <f t="shared" ref="H1371:H1376" si="266">G1371/B1371</f>
        <v>0.72764803105651255</v>
      </c>
      <c r="I1371" s="11">
        <v>201713140</v>
      </c>
      <c r="J1371" s="10">
        <f>I1371/294405339</f>
        <v>0.68515449035385867</v>
      </c>
    </row>
    <row r="1372" spans="1:11">
      <c r="A1372" s="3" t="s">
        <v>11</v>
      </c>
      <c r="B1372" s="20">
        <v>51760</v>
      </c>
      <c r="C1372" s="7">
        <v>18958</v>
      </c>
      <c r="D1372" s="8">
        <f t="shared" si="265"/>
        <v>0.36626738794435859</v>
      </c>
      <c r="E1372" s="11">
        <v>17125017</v>
      </c>
      <c r="F1372" s="10">
        <f>E1372/45240256</f>
        <v>0.37853492694647883</v>
      </c>
      <c r="G1372" s="11">
        <v>32802</v>
      </c>
      <c r="H1372" s="10">
        <f t="shared" si="266"/>
        <v>0.63373261205564146</v>
      </c>
      <c r="I1372" s="11">
        <v>28115239</v>
      </c>
      <c r="J1372" s="10">
        <f>I1372/45240256</f>
        <v>0.62146507305352117</v>
      </c>
    </row>
    <row r="1373" spans="1:11">
      <c r="A1373" s="3" t="s">
        <v>12</v>
      </c>
      <c r="B1373" s="20">
        <v>12568</v>
      </c>
      <c r="C1373" s="7">
        <v>5649</v>
      </c>
      <c r="D1373" s="8">
        <f t="shared" si="265"/>
        <v>0.44947485677912158</v>
      </c>
      <c r="E1373" s="11">
        <v>109564989</v>
      </c>
      <c r="F1373" s="10">
        <f>E1373/182527003</f>
        <v>0.60026728757497871</v>
      </c>
      <c r="G1373" s="11">
        <v>6919</v>
      </c>
      <c r="H1373" s="10">
        <f t="shared" si="266"/>
        <v>0.55052514322087842</v>
      </c>
      <c r="I1373" s="11">
        <v>72962014</v>
      </c>
      <c r="J1373" s="10">
        <f>I1373/182527003</f>
        <v>0.39973271242502129</v>
      </c>
      <c r="K1373" s="3" t="s">
        <v>10</v>
      </c>
    </row>
    <row r="1374" spans="1:11">
      <c r="A1374" s="3" t="s">
        <v>13</v>
      </c>
      <c r="B1374" s="20">
        <v>400</v>
      </c>
      <c r="C1374" s="7">
        <v>348</v>
      </c>
      <c r="D1374" s="8">
        <f t="shared" si="265"/>
        <v>0.87</v>
      </c>
      <c r="E1374" s="11">
        <v>268251338</v>
      </c>
      <c r="F1374" s="10">
        <f>E1374/280579831</f>
        <v>0.95606065854391364</v>
      </c>
      <c r="G1374" s="11">
        <v>52</v>
      </c>
      <c r="H1374" s="10">
        <f t="shared" si="266"/>
        <v>0.13</v>
      </c>
      <c r="I1374" s="11">
        <v>12328493</v>
      </c>
      <c r="J1374" s="10">
        <f>I1374/280579831</f>
        <v>4.3939341456086342E-2</v>
      </c>
    </row>
    <row r="1375" spans="1:11">
      <c r="A1375" s="3" t="s">
        <v>65</v>
      </c>
      <c r="B1375" s="20">
        <v>5591</v>
      </c>
      <c r="C1375" s="7">
        <v>899</v>
      </c>
      <c r="D1375" s="8">
        <f t="shared" si="265"/>
        <v>0.16079413342872473</v>
      </c>
      <c r="E1375" s="11">
        <v>87717</v>
      </c>
      <c r="F1375" s="10">
        <f>E1375/781609</f>
        <v>0.11222618982125333</v>
      </c>
      <c r="G1375" s="11">
        <v>4692</v>
      </c>
      <c r="H1375" s="10">
        <f t="shared" si="266"/>
        <v>0.83920586657127527</v>
      </c>
      <c r="I1375" s="11">
        <v>693892</v>
      </c>
      <c r="J1375" s="10">
        <f>I1375/781609</f>
        <v>0.88777381017874668</v>
      </c>
    </row>
    <row r="1376" spans="1:11" s="1" customFormat="1" ht="15.75">
      <c r="A1376" s="3"/>
      <c r="B1376" s="15">
        <f>SUM(B1371:B1375)</f>
        <v>618481</v>
      </c>
      <c r="C1376" s="16">
        <f>SUM(C1371:C1375)</f>
        <v>175147</v>
      </c>
      <c r="D1376" s="17">
        <f t="shared" si="265"/>
        <v>0.283188974277302</v>
      </c>
      <c r="E1376" s="18">
        <f>SUM(E1371:E1375)</f>
        <v>487721260</v>
      </c>
      <c r="F1376" s="21">
        <f>E1376/831263037</f>
        <v>0.58672314092079614</v>
      </c>
      <c r="G1376" s="18">
        <f>SUM(G1371:G1375)</f>
        <v>443334</v>
      </c>
      <c r="H1376" s="21">
        <f t="shared" si="266"/>
        <v>0.71681102572269806</v>
      </c>
      <c r="I1376" s="18">
        <f>SUM(I1371:I1375)</f>
        <v>315812778</v>
      </c>
      <c r="J1376" s="21">
        <f>I1376/831263037</f>
        <v>0.37991918796216123</v>
      </c>
    </row>
    <row r="1377" spans="1:11" ht="15.75">
      <c r="A1377" s="1" t="s">
        <v>137</v>
      </c>
      <c r="B1377" s="3"/>
      <c r="J1377" s="3"/>
    </row>
    <row r="1378" spans="1:11" ht="15.75">
      <c r="A1378" s="1" t="s">
        <v>145</v>
      </c>
      <c r="B1378" s="24"/>
      <c r="C1378" s="24" t="s">
        <v>2</v>
      </c>
      <c r="D1378" s="25"/>
      <c r="E1378" s="25"/>
      <c r="F1378" s="26"/>
      <c r="G1378" s="27" t="s">
        <v>3</v>
      </c>
      <c r="H1378" s="26"/>
      <c r="I1378" s="26"/>
      <c r="J1378" s="26"/>
    </row>
    <row r="1379" spans="1:11">
      <c r="B1379" s="4" t="s">
        <v>4</v>
      </c>
      <c r="C1379" s="4" t="s">
        <v>5</v>
      </c>
      <c r="D1379" s="4"/>
      <c r="E1379" s="4" t="s">
        <v>6</v>
      </c>
      <c r="F1379" s="5"/>
      <c r="G1379" s="4" t="s">
        <v>7</v>
      </c>
      <c r="H1379" s="5"/>
      <c r="I1379" s="5" t="s">
        <v>6</v>
      </c>
      <c r="J1379" s="5"/>
      <c r="K1379" s="22"/>
    </row>
    <row r="1380" spans="1:11" ht="12.75" customHeight="1">
      <c r="B1380" s="4" t="s">
        <v>8</v>
      </c>
      <c r="C1380" s="4" t="s">
        <v>8</v>
      </c>
      <c r="D1380" s="4" t="s">
        <v>9</v>
      </c>
      <c r="E1380" s="4" t="s">
        <v>8</v>
      </c>
      <c r="F1380" s="5" t="s">
        <v>9</v>
      </c>
      <c r="G1380" s="5" t="s">
        <v>8</v>
      </c>
      <c r="H1380" s="5" t="s">
        <v>9</v>
      </c>
      <c r="I1380" s="5" t="s">
        <v>8</v>
      </c>
      <c r="J1380" s="5" t="s">
        <v>9</v>
      </c>
      <c r="K1380" s="1" t="s">
        <v>125</v>
      </c>
    </row>
    <row r="1381" spans="1:11"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1:11">
      <c r="A1382" s="3" t="s">
        <v>10</v>
      </c>
      <c r="B1382" s="6">
        <v>547994</v>
      </c>
      <c r="C1382" s="7">
        <v>154213</v>
      </c>
      <c r="D1382" s="8">
        <f t="shared" ref="D1382:D1387" si="267">C1382/B1382</f>
        <v>0.28141366511312166</v>
      </c>
      <c r="E1382" s="11">
        <v>102005223</v>
      </c>
      <c r="F1382" s="10">
        <f>E1382/313530442</f>
        <v>0.32534391987365618</v>
      </c>
      <c r="G1382" s="11">
        <v>393781</v>
      </c>
      <c r="H1382" s="10">
        <f t="shared" ref="H1382:H1387" si="268">G1382/B1382</f>
        <v>0.71858633488687829</v>
      </c>
      <c r="I1382" s="11">
        <v>211525219</v>
      </c>
      <c r="J1382" s="10">
        <f>I1382/313530442</f>
        <v>0.67465608012634382</v>
      </c>
    </row>
    <row r="1383" spans="1:11">
      <c r="A1383" s="3" t="s">
        <v>11</v>
      </c>
      <c r="B1383" s="20">
        <v>51619</v>
      </c>
      <c r="C1383" s="7">
        <v>19148</v>
      </c>
      <c r="D1383" s="8">
        <f t="shared" si="267"/>
        <v>0.3709486816869757</v>
      </c>
      <c r="E1383" s="11">
        <v>18349081</v>
      </c>
      <c r="F1383" s="10">
        <f>E1383/48298373</f>
        <v>0.37991095476445969</v>
      </c>
      <c r="G1383" s="11">
        <v>32471</v>
      </c>
      <c r="H1383" s="10">
        <f t="shared" si="268"/>
        <v>0.6290513183130243</v>
      </c>
      <c r="I1383" s="11">
        <v>29949292</v>
      </c>
      <c r="J1383" s="10">
        <f>I1383/48298373</f>
        <v>0.62008904523554031</v>
      </c>
    </row>
    <row r="1384" spans="1:11">
      <c r="A1384" s="3" t="s">
        <v>12</v>
      </c>
      <c r="B1384" s="20">
        <v>12646</v>
      </c>
      <c r="C1384" s="7">
        <v>5726</v>
      </c>
      <c r="D1384" s="8">
        <f t="shared" si="267"/>
        <v>0.4527913964890084</v>
      </c>
      <c r="E1384" s="11">
        <v>111791339</v>
      </c>
      <c r="F1384" s="10">
        <f>E1384/189707248</f>
        <v>0.58928343633976499</v>
      </c>
      <c r="G1384" s="11">
        <v>6920</v>
      </c>
      <c r="H1384" s="10">
        <f t="shared" si="268"/>
        <v>0.54720860351099165</v>
      </c>
      <c r="I1384" s="11">
        <v>77915909</v>
      </c>
      <c r="J1384" s="10">
        <f>I1384/189707248</f>
        <v>0.41071656366023507</v>
      </c>
      <c r="K1384" s="3" t="s">
        <v>10</v>
      </c>
    </row>
    <row r="1385" spans="1:11">
      <c r="A1385" s="3" t="s">
        <v>13</v>
      </c>
      <c r="B1385" s="20">
        <v>397</v>
      </c>
      <c r="C1385" s="7">
        <v>350</v>
      </c>
      <c r="D1385" s="8">
        <f t="shared" si="267"/>
        <v>0.88161209068010071</v>
      </c>
      <c r="E1385" s="11">
        <v>268314776</v>
      </c>
      <c r="F1385" s="10">
        <f>E1385/278944472</f>
        <v>0.96189314696295536</v>
      </c>
      <c r="G1385" s="11">
        <v>47</v>
      </c>
      <c r="H1385" s="10">
        <f t="shared" si="268"/>
        <v>0.11838790931989925</v>
      </c>
      <c r="I1385" s="11">
        <v>10629696</v>
      </c>
      <c r="J1385" s="10">
        <f>I1385/278944472</f>
        <v>3.8106853037044593E-2</v>
      </c>
    </row>
    <row r="1386" spans="1:11">
      <c r="A1386" s="3" t="s">
        <v>65</v>
      </c>
      <c r="B1386" s="20">
        <v>5584</v>
      </c>
      <c r="C1386" s="7">
        <v>907</v>
      </c>
      <c r="D1386" s="8">
        <f t="shared" si="267"/>
        <v>0.16242836676217765</v>
      </c>
      <c r="E1386" s="11">
        <v>77797</v>
      </c>
      <c r="F1386" s="10">
        <f>E1386/782502</f>
        <v>9.9420832151227725E-2</v>
      </c>
      <c r="G1386" s="11">
        <v>4677</v>
      </c>
      <c r="H1386" s="10">
        <f t="shared" si="268"/>
        <v>0.83757163323782235</v>
      </c>
      <c r="I1386" s="11">
        <v>704705</v>
      </c>
      <c r="J1386" s="10">
        <f>I1386/782502</f>
        <v>0.90057916784877223</v>
      </c>
    </row>
    <row r="1387" spans="1:11" s="1" customFormat="1" ht="15.75">
      <c r="A1387" s="3"/>
      <c r="B1387" s="15">
        <f>SUM(B1382:B1386)</f>
        <v>618240</v>
      </c>
      <c r="C1387" s="16">
        <f>SUM(C1382:C1386)</f>
        <v>180344</v>
      </c>
      <c r="D1387" s="17">
        <f t="shared" si="267"/>
        <v>0.29170548654244305</v>
      </c>
      <c r="E1387" s="18">
        <f>SUM(E1382:E1386)</f>
        <v>500538216</v>
      </c>
      <c r="F1387" s="21">
        <f>E1387/831263037</f>
        <v>0.60214179353676711</v>
      </c>
      <c r="G1387" s="18">
        <f>SUM(G1382:G1386)</f>
        <v>437896</v>
      </c>
      <c r="H1387" s="21">
        <f t="shared" si="268"/>
        <v>0.7082945134575569</v>
      </c>
      <c r="I1387" s="18">
        <f>SUM(I1382:I1386)</f>
        <v>330724821</v>
      </c>
      <c r="J1387" s="21">
        <f>I1387/831263037</f>
        <v>0.39785820646323289</v>
      </c>
    </row>
    <row r="1388" spans="1:11" ht="15.75">
      <c r="A1388" s="1" t="s">
        <v>137</v>
      </c>
      <c r="B1388" s="3"/>
      <c r="J1388" s="3"/>
    </row>
    <row r="1389" spans="1:11" ht="15.75">
      <c r="A1389" s="1" t="s">
        <v>146</v>
      </c>
      <c r="B1389" s="24"/>
      <c r="C1389" s="24" t="s">
        <v>2</v>
      </c>
      <c r="D1389" s="25"/>
      <c r="E1389" s="25"/>
      <c r="F1389" s="26"/>
      <c r="G1389" s="27" t="s">
        <v>3</v>
      </c>
      <c r="H1389" s="26"/>
      <c r="I1389" s="26"/>
      <c r="J1389" s="26"/>
    </row>
    <row r="1390" spans="1:11">
      <c r="B1390" s="4" t="s">
        <v>4</v>
      </c>
      <c r="C1390" s="4" t="s">
        <v>5</v>
      </c>
      <c r="D1390" s="4"/>
      <c r="E1390" s="4" t="s">
        <v>6</v>
      </c>
      <c r="F1390" s="5"/>
      <c r="G1390" s="4" t="s">
        <v>7</v>
      </c>
      <c r="H1390" s="5"/>
      <c r="I1390" s="5" t="s">
        <v>6</v>
      </c>
      <c r="J1390" s="5"/>
      <c r="K1390" s="22"/>
    </row>
    <row r="1391" spans="1:11" ht="12.75" customHeight="1">
      <c r="B1391" s="4" t="s">
        <v>8</v>
      </c>
      <c r="C1391" s="4" t="s">
        <v>8</v>
      </c>
      <c r="D1391" s="4" t="s">
        <v>9</v>
      </c>
      <c r="E1391" s="4" t="s">
        <v>8</v>
      </c>
      <c r="F1391" s="5" t="s">
        <v>9</v>
      </c>
      <c r="G1391" s="5" t="s">
        <v>8</v>
      </c>
      <c r="H1391" s="5" t="s">
        <v>9</v>
      </c>
      <c r="I1391" s="5" t="s">
        <v>8</v>
      </c>
      <c r="J1391" s="5" t="s">
        <v>9</v>
      </c>
      <c r="K1391" s="1" t="s">
        <v>125</v>
      </c>
    </row>
    <row r="1392" spans="1:11"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1:13">
      <c r="A1393" s="3" t="s">
        <v>10</v>
      </c>
      <c r="B1393" s="6">
        <v>547781</v>
      </c>
      <c r="C1393" s="7">
        <v>155703</v>
      </c>
      <c r="D1393" s="8">
        <f t="shared" ref="D1393:D1398" si="269">C1393/B1393</f>
        <v>0.28424315556764473</v>
      </c>
      <c r="E1393" s="11">
        <v>100982955</v>
      </c>
      <c r="F1393" s="10">
        <f>E1393/303837009</f>
        <v>0.33235896881804811</v>
      </c>
      <c r="G1393" s="11">
        <v>392078</v>
      </c>
      <c r="H1393" s="10">
        <f t="shared" ref="H1393:H1398" si="270">G1393/B1393</f>
        <v>0.71575684443235532</v>
      </c>
      <c r="I1393" s="11">
        <v>202854054</v>
      </c>
      <c r="J1393" s="10">
        <f>I1393/303837009</f>
        <v>0.66764103118195195</v>
      </c>
    </row>
    <row r="1394" spans="1:13">
      <c r="A1394" s="3" t="s">
        <v>11</v>
      </c>
      <c r="B1394" s="20">
        <v>51558</v>
      </c>
      <c r="C1394" s="7">
        <v>19235</v>
      </c>
      <c r="D1394" s="8">
        <f t="shared" si="269"/>
        <v>0.37307498351371271</v>
      </c>
      <c r="E1394" s="11">
        <v>17938001</v>
      </c>
      <c r="F1394" s="10">
        <f>E1394/46698619</f>
        <v>0.38412272962504523</v>
      </c>
      <c r="G1394" s="11">
        <v>32323</v>
      </c>
      <c r="H1394" s="10">
        <f t="shared" si="270"/>
        <v>0.62692501648628729</v>
      </c>
      <c r="I1394" s="11">
        <v>28760618</v>
      </c>
      <c r="J1394" s="10">
        <f>I1394/46698619</f>
        <v>0.61587727037495477</v>
      </c>
    </row>
    <row r="1395" spans="1:13">
      <c r="A1395" s="3" t="s">
        <v>12</v>
      </c>
      <c r="B1395" s="20">
        <v>12485</v>
      </c>
      <c r="C1395" s="7">
        <v>5660</v>
      </c>
      <c r="D1395" s="8">
        <f t="shared" si="269"/>
        <v>0.45334401281537845</v>
      </c>
      <c r="E1395" s="11">
        <v>110221906</v>
      </c>
      <c r="F1395" s="10">
        <f>E1395/184617601</f>
        <v>0.59702815659488506</v>
      </c>
      <c r="G1395" s="11">
        <v>6825</v>
      </c>
      <c r="H1395" s="10">
        <f t="shared" si="270"/>
        <v>0.54665598718462149</v>
      </c>
      <c r="I1395" s="11">
        <v>74395695</v>
      </c>
      <c r="J1395" s="10">
        <f>I1395/184617601</f>
        <v>0.40297184340511499</v>
      </c>
      <c r="K1395" s="3" t="s">
        <v>10</v>
      </c>
    </row>
    <row r="1396" spans="1:13">
      <c r="A1396" s="3" t="s">
        <v>13</v>
      </c>
      <c r="B1396" s="20">
        <v>398</v>
      </c>
      <c r="C1396" s="7">
        <v>350</v>
      </c>
      <c r="D1396" s="8">
        <f t="shared" si="269"/>
        <v>0.87939698492462315</v>
      </c>
      <c r="E1396" s="11">
        <v>244927402</v>
      </c>
      <c r="F1396" s="10">
        <f>E1396/254707332</f>
        <v>0.96160326472266611</v>
      </c>
      <c r="G1396" s="11">
        <v>48</v>
      </c>
      <c r="H1396" s="10">
        <f t="shared" si="270"/>
        <v>0.12060301507537688</v>
      </c>
      <c r="I1396" s="11">
        <v>9779930</v>
      </c>
      <c r="J1396" s="10">
        <f>I1396/254707332</f>
        <v>3.8396735277333907E-2</v>
      </c>
    </row>
    <row r="1397" spans="1:13">
      <c r="A1397" s="3" t="s">
        <v>65</v>
      </c>
      <c r="B1397" s="20">
        <v>5596</v>
      </c>
      <c r="C1397" s="7">
        <v>913</v>
      </c>
      <c r="D1397" s="8">
        <f t="shared" si="269"/>
        <v>0.16315225160829164</v>
      </c>
      <c r="E1397" s="11">
        <v>71139</v>
      </c>
      <c r="F1397" s="10">
        <f>E1397/782888</f>
        <v>9.0867403766566865E-2</v>
      </c>
      <c r="G1397" s="11">
        <v>4683</v>
      </c>
      <c r="H1397" s="10">
        <f t="shared" si="270"/>
        <v>0.83684774839170839</v>
      </c>
      <c r="I1397" s="11">
        <v>711749</v>
      </c>
      <c r="J1397" s="10">
        <f>I1397/782888</f>
        <v>0.90913259623343312</v>
      </c>
      <c r="K1397" s="3" t="s">
        <v>12</v>
      </c>
    </row>
    <row r="1398" spans="1:13" ht="15.75">
      <c r="B1398" s="15">
        <f>SUM(B1393:B1397)</f>
        <v>617818</v>
      </c>
      <c r="C1398" s="16">
        <f>SUM(C1393:C1397)</f>
        <v>181861</v>
      </c>
      <c r="D1398" s="17">
        <f t="shared" si="269"/>
        <v>0.2943601513714395</v>
      </c>
      <c r="E1398" s="18">
        <f>SUM(E1393:E1397)</f>
        <v>474141403</v>
      </c>
      <c r="F1398" s="21">
        <f>E1398/790643449</f>
        <v>0.5996905477427158</v>
      </c>
      <c r="G1398" s="18">
        <f>SUM(G1393:G1397)</f>
        <v>435957</v>
      </c>
      <c r="H1398" s="21">
        <f t="shared" si="270"/>
        <v>0.70563984862856055</v>
      </c>
      <c r="I1398" s="18">
        <f>SUM(I1393:I1397)</f>
        <v>316502046</v>
      </c>
      <c r="J1398" s="21">
        <f>I1398/790643449</f>
        <v>0.4003094522572842</v>
      </c>
    </row>
    <row r="1399" spans="1:13" ht="15.75">
      <c r="A1399" s="1" t="s">
        <v>137</v>
      </c>
      <c r="B1399" s="3"/>
      <c r="J1399" s="3"/>
      <c r="M1399" s="4"/>
    </row>
    <row r="1400" spans="1:13" ht="15.75">
      <c r="A1400" s="1" t="s">
        <v>147</v>
      </c>
      <c r="B1400" s="24"/>
      <c r="C1400" s="24" t="s">
        <v>2</v>
      </c>
      <c r="D1400" s="25"/>
      <c r="E1400" s="25"/>
      <c r="F1400" s="26"/>
      <c r="G1400" s="27" t="s">
        <v>3</v>
      </c>
      <c r="H1400" s="26"/>
      <c r="I1400" s="26"/>
      <c r="J1400" s="26"/>
    </row>
    <row r="1401" spans="1:13">
      <c r="B1401" s="4" t="s">
        <v>4</v>
      </c>
      <c r="C1401" s="4" t="s">
        <v>5</v>
      </c>
      <c r="D1401" s="4"/>
      <c r="E1401" s="4" t="s">
        <v>6</v>
      </c>
      <c r="F1401" s="5"/>
      <c r="G1401" s="4" t="s">
        <v>7</v>
      </c>
      <c r="H1401" s="5"/>
      <c r="I1401" s="5" t="s">
        <v>6</v>
      </c>
      <c r="J1401" s="5"/>
      <c r="K1401" s="22"/>
    </row>
    <row r="1402" spans="1:13" ht="12.75" customHeight="1">
      <c r="B1402" s="4" t="s">
        <v>8</v>
      </c>
      <c r="C1402" s="4" t="s">
        <v>8</v>
      </c>
      <c r="D1402" s="4" t="s">
        <v>9</v>
      </c>
      <c r="E1402" s="4" t="s">
        <v>8</v>
      </c>
      <c r="F1402" s="5" t="s">
        <v>9</v>
      </c>
      <c r="G1402" s="5" t="s">
        <v>8</v>
      </c>
      <c r="H1402" s="5" t="s">
        <v>9</v>
      </c>
      <c r="I1402" s="5" t="s">
        <v>8</v>
      </c>
      <c r="J1402" s="5" t="s">
        <v>9</v>
      </c>
      <c r="K1402" s="1" t="s">
        <v>125</v>
      </c>
    </row>
    <row r="1403" spans="1:13"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1:13">
      <c r="A1404" s="3" t="s">
        <v>10</v>
      </c>
      <c r="B1404" s="6">
        <v>547489</v>
      </c>
      <c r="C1404" s="7">
        <v>156960</v>
      </c>
      <c r="D1404" s="8">
        <f t="shared" ref="D1404:D1409" si="271">C1404/B1404</f>
        <v>0.28669069150247767</v>
      </c>
      <c r="E1404" s="11">
        <v>86453104</v>
      </c>
      <c r="F1404" s="10">
        <f>E1404/258434227</f>
        <v>0.33452652538937888</v>
      </c>
      <c r="G1404" s="11">
        <v>390529</v>
      </c>
      <c r="H1404" s="10">
        <f t="shared" ref="H1404:H1409" si="272">G1404/B1404</f>
        <v>0.71330930849752228</v>
      </c>
      <c r="I1404" s="11">
        <v>171981123</v>
      </c>
      <c r="J1404" s="10">
        <f>I1404/258434227</f>
        <v>0.66547347461062112</v>
      </c>
    </row>
    <row r="1405" spans="1:13">
      <c r="A1405" s="3" t="s">
        <v>11</v>
      </c>
      <c r="B1405" s="20">
        <v>51545</v>
      </c>
      <c r="C1405" s="7">
        <v>19306</v>
      </c>
      <c r="D1405" s="8">
        <f t="shared" si="271"/>
        <v>0.37454651275584439</v>
      </c>
      <c r="E1405" s="11">
        <v>16058487</v>
      </c>
      <c r="F1405" s="10">
        <f>E1405/40785480</f>
        <v>0.39373048938004407</v>
      </c>
      <c r="G1405" s="11">
        <v>32239</v>
      </c>
      <c r="H1405" s="10">
        <f t="shared" si="272"/>
        <v>0.62545348724415561</v>
      </c>
      <c r="I1405" s="11">
        <v>24726993</v>
      </c>
      <c r="J1405" s="10">
        <f>I1405/40785480</f>
        <v>0.60626951061995593</v>
      </c>
    </row>
    <row r="1406" spans="1:13">
      <c r="A1406" s="3" t="s">
        <v>12</v>
      </c>
      <c r="B1406" s="20">
        <v>12547</v>
      </c>
      <c r="C1406" s="7">
        <v>5696</v>
      </c>
      <c r="D1406" s="8">
        <f t="shared" si="271"/>
        <v>0.45397306128955128</v>
      </c>
      <c r="E1406" s="11">
        <v>100981980</v>
      </c>
      <c r="F1406" s="10">
        <f>E1406/164530115</f>
        <v>0.61375985788376797</v>
      </c>
      <c r="G1406" s="11">
        <v>6851</v>
      </c>
      <c r="H1406" s="10">
        <f t="shared" si="272"/>
        <v>0.54602693871044872</v>
      </c>
      <c r="I1406" s="11">
        <v>63548135</v>
      </c>
      <c r="J1406" s="10">
        <f>I1406/164530115</f>
        <v>0.38624014211623203</v>
      </c>
      <c r="K1406" s="3" t="s">
        <v>10</v>
      </c>
    </row>
    <row r="1407" spans="1:13">
      <c r="A1407" s="3" t="s">
        <v>13</v>
      </c>
      <c r="B1407" s="20">
        <v>395</v>
      </c>
      <c r="C1407" s="7">
        <v>349</v>
      </c>
      <c r="D1407" s="8">
        <f t="shared" si="271"/>
        <v>0.8835443037974684</v>
      </c>
      <c r="E1407" s="11">
        <v>263309689</v>
      </c>
      <c r="F1407" s="10">
        <f>E1407/271470272</f>
        <v>0.96993931254469001</v>
      </c>
      <c r="G1407" s="11">
        <v>46</v>
      </c>
      <c r="H1407" s="10">
        <f t="shared" si="272"/>
        <v>0.11645569620253164</v>
      </c>
      <c r="I1407" s="11">
        <v>8160583</v>
      </c>
      <c r="J1407" s="10">
        <f>I1407/271470272</f>
        <v>3.0060687455310025E-2</v>
      </c>
    </row>
    <row r="1408" spans="1:13">
      <c r="A1408" s="3" t="s">
        <v>65</v>
      </c>
      <c r="B1408" s="20">
        <v>5592</v>
      </c>
      <c r="C1408" s="7">
        <v>917</v>
      </c>
      <c r="D1408" s="8">
        <f t="shared" si="271"/>
        <v>0.16398426323319026</v>
      </c>
      <c r="E1408" s="11">
        <v>72190</v>
      </c>
      <c r="F1408" s="10">
        <f>E1408/783046</f>
        <v>9.2191263348513366E-2</v>
      </c>
      <c r="G1408" s="11">
        <v>4675</v>
      </c>
      <c r="H1408" s="10">
        <f t="shared" si="272"/>
        <v>0.83601573676680974</v>
      </c>
      <c r="I1408" s="11">
        <v>710856</v>
      </c>
      <c r="J1408" s="10">
        <f>I1408/783046</f>
        <v>0.90780873665148665</v>
      </c>
      <c r="K1408" s="3" t="s">
        <v>12</v>
      </c>
    </row>
    <row r="1409" spans="1:11" ht="15.75">
      <c r="B1409" s="15">
        <f>SUM(B1404:B1408)</f>
        <v>617568</v>
      </c>
      <c r="C1409" s="16">
        <f>SUM(C1404:C1408)</f>
        <v>183228</v>
      </c>
      <c r="D1409" s="17">
        <f t="shared" si="271"/>
        <v>0.29669283382558681</v>
      </c>
      <c r="E1409" s="18">
        <f>SUM(E1404:E1408)</f>
        <v>466875450</v>
      </c>
      <c r="F1409" s="21">
        <f>E1409/736003140</f>
        <v>0.63433893773877104</v>
      </c>
      <c r="G1409" s="18">
        <f>SUM(G1404:G1408)</f>
        <v>434340</v>
      </c>
      <c r="H1409" s="21">
        <f t="shared" si="272"/>
        <v>0.70330716617441313</v>
      </c>
      <c r="I1409" s="18">
        <f>SUM(I1404:I1408)</f>
        <v>269127690</v>
      </c>
      <c r="J1409" s="21">
        <f>I1409/736003140</f>
        <v>0.36566106226122896</v>
      </c>
    </row>
    <row r="1410" spans="1:11" ht="15.75">
      <c r="A1410" s="1" t="s">
        <v>137</v>
      </c>
      <c r="B1410" s="3"/>
      <c r="J1410" s="3"/>
    </row>
    <row r="1411" spans="1:11" ht="15.75">
      <c r="A1411" s="1" t="s">
        <v>148</v>
      </c>
      <c r="B1411" s="24"/>
      <c r="C1411" s="24" t="s">
        <v>2</v>
      </c>
      <c r="D1411" s="25"/>
      <c r="E1411" s="25"/>
      <c r="F1411" s="26"/>
      <c r="G1411" s="27" t="s">
        <v>3</v>
      </c>
      <c r="H1411" s="26"/>
      <c r="I1411" s="26"/>
      <c r="J1411" s="26"/>
    </row>
    <row r="1412" spans="1:11">
      <c r="B1412" s="4" t="s">
        <v>4</v>
      </c>
      <c r="C1412" s="4" t="s">
        <v>5</v>
      </c>
      <c r="D1412" s="4"/>
      <c r="E1412" s="4" t="s">
        <v>6</v>
      </c>
      <c r="F1412" s="5"/>
      <c r="G1412" s="4" t="s">
        <v>7</v>
      </c>
      <c r="H1412" s="5"/>
      <c r="I1412" s="5" t="s">
        <v>6</v>
      </c>
      <c r="J1412" s="5"/>
      <c r="K1412" s="22"/>
    </row>
    <row r="1413" spans="1:11" ht="15.75">
      <c r="B1413" s="4" t="s">
        <v>8</v>
      </c>
      <c r="C1413" s="4" t="s">
        <v>8</v>
      </c>
      <c r="D1413" s="4" t="s">
        <v>9</v>
      </c>
      <c r="E1413" s="4" t="s">
        <v>8</v>
      </c>
      <c r="F1413" s="5" t="s">
        <v>9</v>
      </c>
      <c r="G1413" s="5" t="s">
        <v>8</v>
      </c>
      <c r="H1413" s="5" t="s">
        <v>9</v>
      </c>
      <c r="I1413" s="5" t="s">
        <v>8</v>
      </c>
      <c r="J1413" s="5" t="s">
        <v>9</v>
      </c>
      <c r="K1413" s="1" t="s">
        <v>125</v>
      </c>
    </row>
    <row r="1414" spans="1:11">
      <c r="B1414" s="4"/>
      <c r="C1414" s="4"/>
      <c r="D1414" s="4"/>
      <c r="E1414" s="4"/>
      <c r="F1414" s="4"/>
      <c r="G1414" s="4"/>
      <c r="H1414" s="4"/>
      <c r="I1414" s="4"/>
      <c r="J1414" s="4"/>
    </row>
    <row r="1415" spans="1:11">
      <c r="A1415" s="3" t="s">
        <v>10</v>
      </c>
      <c r="B1415" s="6">
        <v>547189</v>
      </c>
      <c r="C1415" s="7">
        <v>157198</v>
      </c>
      <c r="D1415" s="8">
        <f t="shared" ref="D1415:D1420" si="273">C1415/B1415</f>
        <v>0.28728282184035131</v>
      </c>
      <c r="E1415" s="11">
        <v>88223438</v>
      </c>
      <c r="F1415" s="10">
        <f>E1415/267075160</f>
        <v>0.33033187361939614</v>
      </c>
      <c r="G1415" s="11">
        <v>390538</v>
      </c>
      <c r="H1415" s="10">
        <f t="shared" ref="H1415:H1420" si="274">G1415/B1415</f>
        <v>0.71371683275796849</v>
      </c>
      <c r="I1415" s="11">
        <v>178851722</v>
      </c>
      <c r="J1415" s="10">
        <f>I1415/267075160</f>
        <v>0.66966812638060391</v>
      </c>
    </row>
    <row r="1416" spans="1:11">
      <c r="A1416" s="3" t="s">
        <v>11</v>
      </c>
      <c r="B1416" s="20">
        <v>51507</v>
      </c>
      <c r="C1416" s="7">
        <v>19664</v>
      </c>
      <c r="D1416" s="8">
        <f t="shared" si="273"/>
        <v>0.38177335119498318</v>
      </c>
      <c r="E1416" s="11">
        <v>15952361</v>
      </c>
      <c r="F1416" s="10">
        <f>E1416/39519142</f>
        <v>0.4036616230180301</v>
      </c>
      <c r="G1416" s="11">
        <v>31843</v>
      </c>
      <c r="H1416" s="10">
        <f t="shared" si="274"/>
        <v>0.61822664880501677</v>
      </c>
      <c r="I1416" s="11">
        <v>23566781</v>
      </c>
      <c r="J1416" s="10">
        <f>I1416/39519142</f>
        <v>0.5963383769819699</v>
      </c>
    </row>
    <row r="1417" spans="1:11">
      <c r="A1417" s="3" t="s">
        <v>12</v>
      </c>
      <c r="B1417" s="20">
        <v>12442</v>
      </c>
      <c r="C1417" s="7">
        <v>5671</v>
      </c>
      <c r="D1417" s="8">
        <f t="shared" si="273"/>
        <v>0.45579488828162673</v>
      </c>
      <c r="E1417" s="11">
        <v>95758188</v>
      </c>
      <c r="F1417" s="10">
        <f>E1417/153827164</f>
        <v>0.62250506028961183</v>
      </c>
      <c r="G1417" s="11">
        <v>6771</v>
      </c>
      <c r="H1417" s="10">
        <f t="shared" si="274"/>
        <v>0.54420511171837327</v>
      </c>
      <c r="I1417" s="11">
        <v>58068976</v>
      </c>
      <c r="J1417" s="10">
        <f>I1417/153827164</f>
        <v>0.37749493971038822</v>
      </c>
      <c r="K1417" s="3" t="s">
        <v>10</v>
      </c>
    </row>
    <row r="1418" spans="1:11">
      <c r="A1418" s="3" t="s">
        <v>13</v>
      </c>
      <c r="B1418" s="20">
        <v>400</v>
      </c>
      <c r="C1418" s="7">
        <v>350</v>
      </c>
      <c r="D1418" s="8">
        <f t="shared" si="273"/>
        <v>0.875</v>
      </c>
      <c r="E1418" s="11">
        <v>235657265</v>
      </c>
      <c r="F1418" s="10">
        <f>E1418/242884539</f>
        <v>0.97024399317570398</v>
      </c>
      <c r="G1418" s="11">
        <v>50</v>
      </c>
      <c r="H1418" s="10">
        <f t="shared" si="274"/>
        <v>0.125</v>
      </c>
      <c r="I1418" s="11">
        <v>7227274</v>
      </c>
      <c r="J1418" s="10">
        <f>I1418/242884539</f>
        <v>2.975600682429605E-2</v>
      </c>
    </row>
    <row r="1419" spans="1:11">
      <c r="A1419" s="3" t="s">
        <v>65</v>
      </c>
      <c r="B1419" s="20">
        <v>5586</v>
      </c>
      <c r="C1419" s="7">
        <v>909</v>
      </c>
      <c r="D1419" s="8">
        <f t="shared" si="273"/>
        <v>0.16272824919441461</v>
      </c>
      <c r="E1419" s="11">
        <v>81612</v>
      </c>
      <c r="F1419" s="10">
        <f>E1419/782958</f>
        <v>0.10423547623244159</v>
      </c>
      <c r="G1419" s="11">
        <v>4677</v>
      </c>
      <c r="H1419" s="10">
        <f t="shared" si="274"/>
        <v>0.83727175080558536</v>
      </c>
      <c r="I1419" s="11">
        <v>701346</v>
      </c>
      <c r="J1419" s="10">
        <f>I1419/782958</f>
        <v>0.89576452376755844</v>
      </c>
      <c r="K1419" s="3" t="s">
        <v>12</v>
      </c>
    </row>
    <row r="1420" spans="1:11" ht="15.75">
      <c r="B1420" s="15">
        <f>SUM(B1415:B1419)</f>
        <v>617124</v>
      </c>
      <c r="C1420" s="16">
        <f>SUM(C1415:C1419)</f>
        <v>183792</v>
      </c>
      <c r="D1420" s="17">
        <f t="shared" si="273"/>
        <v>0.29782021117311919</v>
      </c>
      <c r="E1420" s="18">
        <f>SUM(E1415:E1419)</f>
        <v>435672864</v>
      </c>
      <c r="F1420" s="21">
        <f>E1420/704088963</f>
        <v>0.6187753066653312</v>
      </c>
      <c r="G1420" s="18">
        <f>SUM(G1415:G1419)</f>
        <v>433879</v>
      </c>
      <c r="H1420" s="21">
        <f t="shared" si="274"/>
        <v>0.70306615850299126</v>
      </c>
      <c r="I1420" s="18">
        <f>SUM(I1415:I1419)</f>
        <v>268416099</v>
      </c>
      <c r="J1420" s="21">
        <f>I1420/704088963</f>
        <v>0.38122469333466885</v>
      </c>
    </row>
    <row r="1421" spans="1:11" ht="15.75">
      <c r="A1421" s="1" t="s">
        <v>137</v>
      </c>
      <c r="B1421" s="3"/>
      <c r="J1421" s="3"/>
    </row>
    <row r="1422" spans="1:11" ht="15.75">
      <c r="A1422" s="1" t="s">
        <v>149</v>
      </c>
      <c r="B1422" s="28"/>
      <c r="C1422" s="28" t="s">
        <v>2</v>
      </c>
      <c r="D1422" s="29"/>
      <c r="E1422" s="29"/>
      <c r="F1422" s="30"/>
      <c r="G1422" s="31" t="s">
        <v>3</v>
      </c>
      <c r="H1422" s="30"/>
      <c r="I1422" s="30"/>
      <c r="J1422" s="30"/>
    </row>
    <row r="1423" spans="1:11">
      <c r="B1423" s="4" t="s">
        <v>4</v>
      </c>
      <c r="C1423" s="4" t="s">
        <v>5</v>
      </c>
      <c r="D1423" s="4"/>
      <c r="E1423" s="4" t="s">
        <v>6</v>
      </c>
      <c r="F1423" s="5"/>
      <c r="G1423" s="4" t="s">
        <v>7</v>
      </c>
      <c r="H1423" s="5"/>
      <c r="I1423" s="5" t="s">
        <v>6</v>
      </c>
      <c r="J1423" s="5"/>
      <c r="K1423" s="22"/>
    </row>
    <row r="1424" spans="1:11" ht="15.75">
      <c r="B1424" s="4" t="s">
        <v>8</v>
      </c>
      <c r="C1424" s="4" t="s">
        <v>8</v>
      </c>
      <c r="D1424" s="4" t="s">
        <v>9</v>
      </c>
      <c r="E1424" s="4" t="s">
        <v>8</v>
      </c>
      <c r="F1424" s="5" t="s">
        <v>9</v>
      </c>
      <c r="G1424" s="5" t="s">
        <v>8</v>
      </c>
      <c r="H1424" s="5" t="s">
        <v>9</v>
      </c>
      <c r="I1424" s="5" t="s">
        <v>8</v>
      </c>
      <c r="J1424" s="5" t="s">
        <v>9</v>
      </c>
      <c r="K1424" s="1" t="s">
        <v>125</v>
      </c>
    </row>
    <row r="1425" spans="1:11">
      <c r="B1425" s="4"/>
      <c r="C1425" s="4"/>
      <c r="D1425" s="4"/>
      <c r="E1425" s="4"/>
      <c r="F1425" s="4"/>
      <c r="G1425" s="4"/>
      <c r="H1425" s="4"/>
      <c r="I1425" s="4"/>
      <c r="J1425" s="4"/>
    </row>
    <row r="1426" spans="1:11">
      <c r="A1426" s="3" t="s">
        <v>10</v>
      </c>
      <c r="B1426" s="6">
        <v>547970</v>
      </c>
      <c r="C1426" s="7">
        <v>156748</v>
      </c>
      <c r="D1426" s="8">
        <f t="shared" ref="D1426:D1431" si="275">C1426/B1426</f>
        <v>0.28605215613993468</v>
      </c>
      <c r="E1426" s="11">
        <v>97925698</v>
      </c>
      <c r="F1426" s="10">
        <f>E1426/302566501</f>
        <v>0.32365016509213623</v>
      </c>
      <c r="G1426" s="11">
        <v>391222</v>
      </c>
      <c r="H1426" s="10">
        <f t="shared" ref="H1426:H1431" si="276">G1426/B1426</f>
        <v>0.71394784386006538</v>
      </c>
      <c r="I1426" s="11">
        <v>204640803</v>
      </c>
      <c r="J1426" s="10">
        <f>I1426/302566501</f>
        <v>0.67634983490786382</v>
      </c>
    </row>
    <row r="1427" spans="1:11">
      <c r="A1427" s="3" t="s">
        <v>11</v>
      </c>
      <c r="B1427" s="20">
        <v>51447</v>
      </c>
      <c r="C1427" s="7">
        <v>19759</v>
      </c>
      <c r="D1427" s="8">
        <f t="shared" si="275"/>
        <v>0.38406515443077344</v>
      </c>
      <c r="E1427" s="11">
        <v>17166737</v>
      </c>
      <c r="F1427" s="10">
        <v>0.40039999999999998</v>
      </c>
      <c r="G1427" s="11">
        <v>31684</v>
      </c>
      <c r="H1427" s="10">
        <f t="shared" si="276"/>
        <v>0.61585709565183588</v>
      </c>
      <c r="I1427" s="11">
        <v>25713943</v>
      </c>
      <c r="J1427" s="10">
        <f>I1427/42885260</f>
        <v>0.59959862666100194</v>
      </c>
    </row>
    <row r="1428" spans="1:11">
      <c r="A1428" s="3" t="s">
        <v>12</v>
      </c>
      <c r="B1428" s="20">
        <v>12452</v>
      </c>
      <c r="C1428" s="7">
        <v>5679</v>
      </c>
      <c r="D1428" s="8">
        <f t="shared" si="275"/>
        <v>0.45607131384516542</v>
      </c>
      <c r="E1428" s="11">
        <v>98951152</v>
      </c>
      <c r="F1428" s="10">
        <f>E1428/158732822</f>
        <v>0.62338179812616201</v>
      </c>
      <c r="G1428" s="11">
        <v>6773</v>
      </c>
      <c r="H1428" s="10">
        <f t="shared" si="276"/>
        <v>0.54392868615483458</v>
      </c>
      <c r="I1428" s="11">
        <v>59781670</v>
      </c>
      <c r="J1428" s="10">
        <f>I1428/158732822</f>
        <v>0.37661820187383804</v>
      </c>
      <c r="K1428" s="3" t="s">
        <v>10</v>
      </c>
    </row>
    <row r="1429" spans="1:11">
      <c r="A1429" s="3" t="s">
        <v>13</v>
      </c>
      <c r="B1429" s="20">
        <v>399</v>
      </c>
      <c r="C1429" s="7">
        <v>349</v>
      </c>
      <c r="D1429" s="8">
        <f t="shared" si="275"/>
        <v>0.87468671679197996</v>
      </c>
      <c r="E1429" s="11">
        <v>255340414</v>
      </c>
      <c r="F1429" s="10">
        <f>E1429/262992168</f>
        <v>0.97090501189373823</v>
      </c>
      <c r="G1429" s="11">
        <v>50</v>
      </c>
      <c r="H1429" s="10">
        <f t="shared" si="276"/>
        <v>0.12531328320802004</v>
      </c>
      <c r="I1429" s="11">
        <v>7651754</v>
      </c>
      <c r="J1429" s="10">
        <f>I1429/262992168</f>
        <v>2.9094988106261779E-2</v>
      </c>
      <c r="K1429" s="3" t="s">
        <v>11</v>
      </c>
    </row>
    <row r="1430" spans="1:11">
      <c r="A1430" s="3" t="s">
        <v>65</v>
      </c>
      <c r="B1430" s="20">
        <v>5600</v>
      </c>
      <c r="C1430" s="7">
        <v>908</v>
      </c>
      <c r="D1430" s="8">
        <f t="shared" si="275"/>
        <v>0.16214285714285714</v>
      </c>
      <c r="E1430" s="11">
        <v>91833</v>
      </c>
      <c r="F1430" s="10">
        <f>E1430/779872</f>
        <v>0.11775393910795617</v>
      </c>
      <c r="G1430" s="11">
        <v>4692</v>
      </c>
      <c r="H1430" s="10">
        <f t="shared" si="276"/>
        <v>0.83785714285714286</v>
      </c>
      <c r="I1430" s="11">
        <v>688039</v>
      </c>
      <c r="J1430" s="10">
        <f>I1430/779872</f>
        <v>0.88224606089204383</v>
      </c>
      <c r="K1430" s="3" t="s">
        <v>12</v>
      </c>
    </row>
    <row r="1431" spans="1:11" ht="15.75">
      <c r="B1431" s="15">
        <f>SUM(B1426:B1430)</f>
        <v>617868</v>
      </c>
      <c r="C1431" s="16">
        <f>SUM(C1426:C1430)</f>
        <v>183443</v>
      </c>
      <c r="D1431" s="17">
        <f t="shared" si="275"/>
        <v>0.29689674817274886</v>
      </c>
      <c r="E1431" s="18">
        <f>SUM(E1426:E1430)</f>
        <v>469475834</v>
      </c>
      <c r="F1431" s="21">
        <f>E1431/767952043</f>
        <v>0.61133483305284986</v>
      </c>
      <c r="G1431" s="18">
        <f>SUM(G1426:G1430)</f>
        <v>434421</v>
      </c>
      <c r="H1431" s="21">
        <f t="shared" si="276"/>
        <v>0.70309677795257242</v>
      </c>
      <c r="I1431" s="18">
        <f>SUM(I1426:I1430)</f>
        <v>298476209</v>
      </c>
      <c r="J1431" s="21">
        <f>I1431/767952043</f>
        <v>0.38866516694715009</v>
      </c>
    </row>
    <row r="1432" spans="1:11" ht="15.75">
      <c r="A1432" s="1" t="s">
        <v>137</v>
      </c>
      <c r="B1432" s="3"/>
      <c r="J1432" s="3"/>
    </row>
    <row r="1433" spans="1:11" ht="15.75">
      <c r="A1433" s="1" t="s">
        <v>150</v>
      </c>
      <c r="B1433" s="28"/>
      <c r="C1433" s="28" t="s">
        <v>2</v>
      </c>
      <c r="D1433" s="29"/>
      <c r="E1433" s="29"/>
      <c r="F1433" s="30"/>
      <c r="G1433" s="31" t="s">
        <v>3</v>
      </c>
      <c r="H1433" s="30"/>
      <c r="I1433" s="30"/>
      <c r="J1433" s="30"/>
      <c r="K1433" s="22"/>
    </row>
    <row r="1434" spans="1:11" ht="15.75">
      <c r="B1434" s="4" t="s">
        <v>4</v>
      </c>
      <c r="C1434" s="4" t="s">
        <v>5</v>
      </c>
      <c r="D1434" s="4"/>
      <c r="E1434" s="4" t="s">
        <v>6</v>
      </c>
      <c r="F1434" s="5"/>
      <c r="G1434" s="4" t="s">
        <v>7</v>
      </c>
      <c r="H1434" s="5"/>
      <c r="I1434" s="5" t="s">
        <v>6</v>
      </c>
      <c r="J1434" s="5"/>
      <c r="K1434" s="1" t="s">
        <v>125</v>
      </c>
    </row>
    <row r="1435" spans="1:11">
      <c r="B1435" s="4" t="s">
        <v>8</v>
      </c>
      <c r="C1435" s="4" t="s">
        <v>8</v>
      </c>
      <c r="D1435" s="4" t="s">
        <v>9</v>
      </c>
      <c r="E1435" s="4" t="s">
        <v>8</v>
      </c>
      <c r="F1435" s="5" t="s">
        <v>9</v>
      </c>
      <c r="G1435" s="5" t="s">
        <v>8</v>
      </c>
      <c r="H1435" s="5" t="s">
        <v>9</v>
      </c>
      <c r="I1435" s="5" t="s">
        <v>8</v>
      </c>
      <c r="J1435" s="5" t="s">
        <v>9</v>
      </c>
    </row>
    <row r="1436" spans="1:11">
      <c r="B1436" s="4"/>
      <c r="C1436" s="4"/>
      <c r="D1436" s="4"/>
      <c r="E1436" s="4"/>
      <c r="F1436" s="4"/>
      <c r="G1436" s="4"/>
      <c r="H1436" s="4"/>
      <c r="I1436" s="4"/>
      <c r="J1436" s="4"/>
    </row>
    <row r="1437" spans="1:11">
      <c r="A1437" s="3" t="s">
        <v>10</v>
      </c>
      <c r="B1437" s="6">
        <v>548329</v>
      </c>
      <c r="C1437" s="7">
        <v>156580</v>
      </c>
      <c r="D1437" s="8">
        <f t="shared" ref="D1437:D1442" si="277">C1437/B1437</f>
        <v>0.28555848769625536</v>
      </c>
      <c r="E1437" s="11">
        <v>104644456</v>
      </c>
      <c r="F1437" s="10">
        <f>E1437/327478664</f>
        <v>0.31954587429243941</v>
      </c>
      <c r="G1437" s="11">
        <v>391749</v>
      </c>
      <c r="H1437" s="10">
        <f t="shared" ref="H1437:H1442" si="278">G1437/B1437</f>
        <v>0.71444151230374464</v>
      </c>
      <c r="I1437" s="11">
        <v>222834208</v>
      </c>
      <c r="J1437" s="10">
        <f>I1437/327478664</f>
        <v>0.68045412570756059</v>
      </c>
    </row>
    <row r="1438" spans="1:11">
      <c r="A1438" s="3" t="s">
        <v>11</v>
      </c>
      <c r="B1438" s="20">
        <v>50632</v>
      </c>
      <c r="C1438" s="7">
        <v>19559</v>
      </c>
      <c r="D1438" s="8">
        <f t="shared" si="277"/>
        <v>0.38629720334966028</v>
      </c>
      <c r="E1438" s="11">
        <v>17672583</v>
      </c>
      <c r="F1438" s="10">
        <f>E1438/44599744</f>
        <v>0.39624853003640559</v>
      </c>
      <c r="G1438" s="11">
        <v>31073</v>
      </c>
      <c r="H1438" s="10">
        <f t="shared" si="278"/>
        <v>0.61370279665033967</v>
      </c>
      <c r="I1438" s="11">
        <v>26927161</v>
      </c>
      <c r="J1438" s="10">
        <f>I1438/44599744</f>
        <v>0.60375146996359441</v>
      </c>
      <c r="K1438" s="3" t="s">
        <v>10</v>
      </c>
    </row>
    <row r="1439" spans="1:11">
      <c r="A1439" s="3" t="s">
        <v>12</v>
      </c>
      <c r="B1439" s="20">
        <v>12410</v>
      </c>
      <c r="C1439" s="7">
        <v>5681</v>
      </c>
      <c r="D1439" s="8">
        <f t="shared" si="277"/>
        <v>0.45777598710717166</v>
      </c>
      <c r="E1439" s="11">
        <v>98004106</v>
      </c>
      <c r="F1439" s="10">
        <f>E1439/158086953</f>
        <v>0.61993797805692419</v>
      </c>
      <c r="G1439" s="11">
        <v>6729</v>
      </c>
      <c r="H1439" s="10">
        <f t="shared" si="278"/>
        <v>0.5422240128928284</v>
      </c>
      <c r="I1439" s="11">
        <v>60082847</v>
      </c>
      <c r="J1439" s="10">
        <f>I1439/158086953</f>
        <v>0.38006202194307587</v>
      </c>
      <c r="K1439" s="3" t="s">
        <v>11</v>
      </c>
    </row>
    <row r="1440" spans="1:11">
      <c r="A1440" s="3" t="s">
        <v>13</v>
      </c>
      <c r="B1440" s="20">
        <v>401</v>
      </c>
      <c r="C1440" s="7">
        <v>352</v>
      </c>
      <c r="D1440" s="8">
        <f t="shared" si="277"/>
        <v>0.87780548628428923</v>
      </c>
      <c r="E1440" s="11">
        <v>220017068</v>
      </c>
      <c r="F1440" s="10">
        <f>E1440/227203184</f>
        <v>0.96837141155557049</v>
      </c>
      <c r="G1440" s="11">
        <v>49</v>
      </c>
      <c r="H1440" s="10">
        <f t="shared" si="278"/>
        <v>0.12219451371571072</v>
      </c>
      <c r="I1440" s="11">
        <v>7186116</v>
      </c>
      <c r="J1440" s="10">
        <f>I1440/227203184</f>
        <v>3.1628588444429548E-2</v>
      </c>
      <c r="K1440" s="3" t="s">
        <v>12</v>
      </c>
    </row>
    <row r="1441" spans="1:11">
      <c r="A1441" s="3" t="s">
        <v>65</v>
      </c>
      <c r="B1441" s="20">
        <v>5596</v>
      </c>
      <c r="C1441" s="7">
        <v>906</v>
      </c>
      <c r="D1441" s="8">
        <f t="shared" si="277"/>
        <v>0.16190135811293782</v>
      </c>
      <c r="E1441" s="11">
        <v>100080</v>
      </c>
      <c r="F1441" s="10">
        <f>E1441/769455</f>
        <v>0.13006608573600795</v>
      </c>
      <c r="G1441" s="11">
        <v>4690</v>
      </c>
      <c r="H1441" s="10">
        <f t="shared" si="278"/>
        <v>0.83809864188706218</v>
      </c>
      <c r="I1441" s="11">
        <v>669375</v>
      </c>
      <c r="J1441" s="10">
        <f>I1441/769455</f>
        <v>0.86993391426399203</v>
      </c>
    </row>
    <row r="1442" spans="1:11" ht="15.75">
      <c r="B1442" s="15">
        <f>SUM(B1437:B1441)</f>
        <v>617368</v>
      </c>
      <c r="C1442" s="16">
        <f>SUM(C1437:C1441)</f>
        <v>183078</v>
      </c>
      <c r="D1442" s="17">
        <f t="shared" si="277"/>
        <v>0.29654598229905016</v>
      </c>
      <c r="E1442" s="18">
        <f>SUM(E1437:E1441)</f>
        <v>440438293</v>
      </c>
      <c r="F1442" s="21">
        <f>E1442/758108000</f>
        <v>0.58097038020967984</v>
      </c>
      <c r="G1442" s="18">
        <f>SUM(G1437:G1441)</f>
        <v>434290</v>
      </c>
      <c r="H1442" s="21">
        <f t="shared" si="278"/>
        <v>0.70345401770094984</v>
      </c>
      <c r="I1442" s="18">
        <f>SUM(I1437:I1441)</f>
        <v>317699707</v>
      </c>
      <c r="J1442" s="21">
        <v>0.41899999999999998</v>
      </c>
    </row>
    <row r="1443" spans="1:11" ht="15.75">
      <c r="A1443" s="1" t="s">
        <v>137</v>
      </c>
      <c r="B1443" s="3"/>
      <c r="J1443" s="3"/>
      <c r="K1443" s="22"/>
    </row>
    <row r="1444" spans="1:11" ht="15.75">
      <c r="A1444" s="1" t="s">
        <v>151</v>
      </c>
      <c r="B1444" s="28"/>
      <c r="C1444" s="28" t="s">
        <v>2</v>
      </c>
      <c r="D1444" s="29"/>
      <c r="E1444" s="29"/>
      <c r="F1444" s="30"/>
      <c r="G1444" s="31" t="s">
        <v>3</v>
      </c>
      <c r="H1444" s="30"/>
      <c r="I1444" s="30"/>
      <c r="J1444" s="30"/>
      <c r="K1444" s="1" t="s">
        <v>125</v>
      </c>
    </row>
    <row r="1445" spans="1:11">
      <c r="B1445" s="4" t="s">
        <v>4</v>
      </c>
      <c r="C1445" s="4" t="s">
        <v>5</v>
      </c>
      <c r="D1445" s="4"/>
      <c r="E1445" s="4" t="s">
        <v>6</v>
      </c>
      <c r="F1445" s="5"/>
      <c r="G1445" s="4" t="s">
        <v>7</v>
      </c>
      <c r="H1445" s="5"/>
      <c r="I1445" s="5" t="s">
        <v>6</v>
      </c>
      <c r="J1445" s="5"/>
    </row>
    <row r="1446" spans="1:11">
      <c r="B1446" s="4" t="s">
        <v>8</v>
      </c>
      <c r="C1446" s="4" t="s">
        <v>8</v>
      </c>
      <c r="D1446" s="4" t="s">
        <v>9</v>
      </c>
      <c r="E1446" s="4" t="s">
        <v>8</v>
      </c>
      <c r="F1446" s="5" t="s">
        <v>9</v>
      </c>
      <c r="G1446" s="5" t="s">
        <v>8</v>
      </c>
      <c r="H1446" s="5" t="s">
        <v>9</v>
      </c>
      <c r="I1446" s="5" t="s">
        <v>8</v>
      </c>
      <c r="J1446" s="5" t="s">
        <v>9</v>
      </c>
    </row>
    <row r="1447" spans="1:11">
      <c r="B1447" s="4"/>
      <c r="C1447" s="4"/>
      <c r="D1447" s="4"/>
      <c r="E1447" s="4"/>
      <c r="F1447" s="4"/>
      <c r="G1447" s="4"/>
      <c r="H1447" s="4"/>
      <c r="I1447" s="4"/>
      <c r="J1447" s="4"/>
    </row>
    <row r="1448" spans="1:11">
      <c r="A1448" s="3" t="s">
        <v>10</v>
      </c>
      <c r="B1448" s="6">
        <v>548686</v>
      </c>
      <c r="C1448" s="7">
        <v>157444</v>
      </c>
      <c r="D1448" s="8">
        <f t="shared" ref="D1448:D1453" si="279">C1448/B1448</f>
        <v>0.28694736151460032</v>
      </c>
      <c r="E1448" s="11">
        <v>115866758</v>
      </c>
      <c r="F1448" s="10">
        <f>E1448/359900070</f>
        <v>0.32194147114225347</v>
      </c>
      <c r="G1448" s="11">
        <v>391242</v>
      </c>
      <c r="H1448" s="10">
        <f t="shared" ref="H1448:H1453" si="280">G1448/B1448</f>
        <v>0.71305263848539968</v>
      </c>
      <c r="I1448" s="11">
        <v>244033312</v>
      </c>
      <c r="J1448" s="10">
        <f>I1448/359900070</f>
        <v>0.67805852885774653</v>
      </c>
      <c r="K1448" s="3" t="s">
        <v>10</v>
      </c>
    </row>
    <row r="1449" spans="1:11">
      <c r="A1449" s="3" t="s">
        <v>11</v>
      </c>
      <c r="B1449" s="20">
        <v>50586</v>
      </c>
      <c r="C1449" s="7">
        <v>19744</v>
      </c>
      <c r="D1449" s="8">
        <f t="shared" si="279"/>
        <v>0.3903056181552208</v>
      </c>
      <c r="E1449" s="11">
        <v>19362367</v>
      </c>
      <c r="F1449" s="10">
        <f>E1449/48386855</f>
        <v>0.40015758412072866</v>
      </c>
      <c r="G1449" s="11">
        <v>30842</v>
      </c>
      <c r="H1449" s="10">
        <f t="shared" si="280"/>
        <v>0.6096943818447792</v>
      </c>
      <c r="I1449" s="11">
        <v>29024488</v>
      </c>
      <c r="J1449" s="10">
        <f>I1449/48386855</f>
        <v>0.59984241587927134</v>
      </c>
      <c r="K1449" s="3" t="s">
        <v>11</v>
      </c>
    </row>
    <row r="1450" spans="1:11">
      <c r="A1450" s="3" t="s">
        <v>12</v>
      </c>
      <c r="B1450" s="20">
        <v>12386</v>
      </c>
      <c r="C1450" s="7">
        <v>5684</v>
      </c>
      <c r="D1450" s="8">
        <f t="shared" si="279"/>
        <v>0.45890521556596159</v>
      </c>
      <c r="E1450" s="11">
        <v>104643948</v>
      </c>
      <c r="F1450" s="10">
        <f>E1450/171029895</f>
        <v>0.61184594658144409</v>
      </c>
      <c r="G1450" s="11">
        <v>6702</v>
      </c>
      <c r="H1450" s="10">
        <f t="shared" si="280"/>
        <v>0.54109478443403847</v>
      </c>
      <c r="I1450" s="11">
        <v>66385947</v>
      </c>
      <c r="J1450" s="10">
        <f>I1450/171029895</f>
        <v>0.38815405341855586</v>
      </c>
      <c r="K1450" s="3" t="s">
        <v>12</v>
      </c>
    </row>
    <row r="1451" spans="1:11">
      <c r="A1451" s="3" t="s">
        <v>13</v>
      </c>
      <c r="B1451" s="20">
        <v>399</v>
      </c>
      <c r="C1451" s="7">
        <v>350</v>
      </c>
      <c r="D1451" s="8">
        <f t="shared" si="279"/>
        <v>0.8771929824561403</v>
      </c>
      <c r="E1451" s="11">
        <v>212045272</v>
      </c>
      <c r="F1451" s="10">
        <f>E1451/218733178</f>
        <v>0.96942436414470234</v>
      </c>
      <c r="G1451" s="11">
        <v>49</v>
      </c>
      <c r="H1451" s="10">
        <f t="shared" si="280"/>
        <v>0.12280701754385964</v>
      </c>
      <c r="I1451" s="11">
        <v>6687906</v>
      </c>
      <c r="J1451" s="10">
        <f>I1451/218733178</f>
        <v>3.0575635855297635E-2</v>
      </c>
    </row>
    <row r="1452" spans="1:11">
      <c r="A1452" s="3" t="s">
        <v>65</v>
      </c>
      <c r="B1452" s="20">
        <v>5617</v>
      </c>
      <c r="C1452" s="7">
        <v>914</v>
      </c>
      <c r="D1452" s="8">
        <f t="shared" si="279"/>
        <v>0.16272031333452019</v>
      </c>
      <c r="E1452" s="11">
        <v>117707</v>
      </c>
      <c r="F1452" s="10">
        <f>E1452/762825</f>
        <v>0.15430406711893291</v>
      </c>
      <c r="G1452" s="11">
        <v>4703</v>
      </c>
      <c r="H1452" s="10">
        <f t="shared" si="280"/>
        <v>0.83727968666547981</v>
      </c>
      <c r="I1452" s="11">
        <v>645118</v>
      </c>
      <c r="J1452" s="10">
        <f>I1452/762825</f>
        <v>0.84569593288106704</v>
      </c>
    </row>
    <row r="1453" spans="1:11" ht="15.75">
      <c r="B1453" s="15">
        <f>SUM(B1448:B1452)</f>
        <v>617674</v>
      </c>
      <c r="C1453" s="16">
        <f>SUM(C1448:C1452)</f>
        <v>184136</v>
      </c>
      <c r="D1453" s="17">
        <f t="shared" si="279"/>
        <v>0.29811194902165222</v>
      </c>
      <c r="E1453" s="18">
        <f>SUM(E1448:E1452)</f>
        <v>452036052</v>
      </c>
      <c r="F1453" s="21">
        <f>E1453/870494449</f>
        <v>0.51928654171119248</v>
      </c>
      <c r="G1453" s="18">
        <f>SUM(G1448:G1452)</f>
        <v>433538</v>
      </c>
      <c r="H1453" s="21">
        <f t="shared" si="280"/>
        <v>0.70188805097834783</v>
      </c>
      <c r="I1453" s="18">
        <f>SUM(I1448:I1452)</f>
        <v>346776771</v>
      </c>
      <c r="J1453" s="21">
        <f>I1453/870494449</f>
        <v>0.39836758453585497</v>
      </c>
      <c r="K1453" s="22"/>
    </row>
    <row r="1454" spans="1:11" ht="15.75">
      <c r="A1454" s="1" t="s">
        <v>137</v>
      </c>
      <c r="B1454" s="3"/>
      <c r="J1454" s="3"/>
      <c r="K1454" s="1" t="s">
        <v>125</v>
      </c>
    </row>
    <row r="1455" spans="1:11" ht="15.75">
      <c r="A1455" s="1" t="s">
        <v>152</v>
      </c>
      <c r="B1455" s="28"/>
      <c r="C1455" s="28" t="s">
        <v>2</v>
      </c>
      <c r="D1455" s="29"/>
      <c r="E1455" s="29"/>
      <c r="F1455" s="30"/>
      <c r="G1455" s="31" t="s">
        <v>3</v>
      </c>
      <c r="H1455" s="30"/>
      <c r="I1455" s="30"/>
      <c r="J1455" s="30"/>
    </row>
    <row r="1456" spans="1:11">
      <c r="B1456" s="4" t="s">
        <v>4</v>
      </c>
      <c r="C1456" s="4" t="s">
        <v>5</v>
      </c>
      <c r="D1456" s="4"/>
      <c r="E1456" s="4" t="s">
        <v>6</v>
      </c>
      <c r="F1456" s="5"/>
      <c r="G1456" s="4" t="s">
        <v>7</v>
      </c>
      <c r="H1456" s="5"/>
      <c r="I1456" s="5" t="s">
        <v>6</v>
      </c>
      <c r="J1456" s="5"/>
    </row>
    <row r="1457" spans="1:11">
      <c r="B1457" s="4" t="s">
        <v>8</v>
      </c>
      <c r="C1457" s="4" t="s">
        <v>8</v>
      </c>
      <c r="D1457" s="4" t="s">
        <v>9</v>
      </c>
      <c r="E1457" s="4" t="s">
        <v>8</v>
      </c>
      <c r="F1457" s="5" t="s">
        <v>9</v>
      </c>
      <c r="G1457" s="5" t="s">
        <v>8</v>
      </c>
      <c r="H1457" s="5" t="s">
        <v>9</v>
      </c>
      <c r="I1457" s="5" t="s">
        <v>8</v>
      </c>
      <c r="J1457" s="5" t="s">
        <v>9</v>
      </c>
    </row>
    <row r="1458" spans="1:11">
      <c r="B1458" s="4"/>
      <c r="C1458" s="4"/>
      <c r="D1458" s="4"/>
      <c r="E1458" s="4"/>
      <c r="F1458" s="4"/>
      <c r="G1458" s="4"/>
      <c r="H1458" s="4"/>
      <c r="I1458" s="4"/>
      <c r="J1458" s="4"/>
      <c r="K1458" s="3" t="s">
        <v>10</v>
      </c>
    </row>
    <row r="1459" spans="1:11">
      <c r="A1459" s="3" t="s">
        <v>10</v>
      </c>
      <c r="B1459" s="6">
        <v>548534</v>
      </c>
      <c r="C1459" s="7">
        <v>170594</v>
      </c>
      <c r="D1459" s="8">
        <f t="shared" ref="D1459:D1464" si="281">C1459/B1459</f>
        <v>0.31099986509496219</v>
      </c>
      <c r="E1459" s="11">
        <v>135402984</v>
      </c>
      <c r="F1459" s="10">
        <f>E1459/400457161</f>
        <v>0.33812102064020777</v>
      </c>
      <c r="G1459" s="11">
        <v>377940</v>
      </c>
      <c r="H1459" s="10">
        <f t="shared" ref="H1459:H1464" si="282">G1459/B1459</f>
        <v>0.68900013490503775</v>
      </c>
      <c r="I1459" s="11">
        <v>265054177</v>
      </c>
      <c r="J1459" s="10">
        <f>I1459/400457161</f>
        <v>0.66187897935979223</v>
      </c>
      <c r="K1459" s="3" t="s">
        <v>11</v>
      </c>
    </row>
    <row r="1460" spans="1:11">
      <c r="A1460" s="3" t="s">
        <v>11</v>
      </c>
      <c r="B1460" s="20">
        <v>50763</v>
      </c>
      <c r="C1460" s="7">
        <v>20786</v>
      </c>
      <c r="D1460" s="8">
        <f t="shared" si="281"/>
        <v>0.40947146543742491</v>
      </c>
      <c r="E1460" s="11">
        <v>21608501</v>
      </c>
      <c r="F1460" s="10">
        <f>E1460/50842118</f>
        <v>0.42501181795770193</v>
      </c>
      <c r="G1460" s="11">
        <v>29977</v>
      </c>
      <c r="H1460" s="10">
        <f t="shared" si="282"/>
        <v>0.59052853456257515</v>
      </c>
      <c r="I1460" s="11">
        <v>29233617</v>
      </c>
      <c r="J1460" s="10">
        <f>I1460/50842118</f>
        <v>0.57498818204229807</v>
      </c>
      <c r="K1460" s="3" t="s">
        <v>12</v>
      </c>
    </row>
    <row r="1461" spans="1:11">
      <c r="A1461" s="3" t="s">
        <v>12</v>
      </c>
      <c r="B1461" s="20">
        <v>12447</v>
      </c>
      <c r="C1461" s="7">
        <v>5955</v>
      </c>
      <c r="D1461" s="8">
        <f t="shared" si="281"/>
        <v>0.47842853699686672</v>
      </c>
      <c r="E1461" s="11">
        <v>111420183</v>
      </c>
      <c r="F1461" s="10">
        <f>E1461/179180269</f>
        <v>0.62183288161041883</v>
      </c>
      <c r="G1461" s="11">
        <v>6492</v>
      </c>
      <c r="H1461" s="10">
        <f t="shared" si="282"/>
        <v>0.52157146300313328</v>
      </c>
      <c r="I1461" s="11">
        <v>67760086</v>
      </c>
      <c r="J1461" s="10">
        <f>I1461/179180269</f>
        <v>0.37816711838958117</v>
      </c>
    </row>
    <row r="1462" spans="1:11">
      <c r="A1462" s="3" t="s">
        <v>13</v>
      </c>
      <c r="B1462" s="20">
        <v>394</v>
      </c>
      <c r="C1462" s="7">
        <v>346</v>
      </c>
      <c r="D1462" s="8">
        <f t="shared" si="281"/>
        <v>0.87817258883248728</v>
      </c>
      <c r="E1462" s="11">
        <v>232113232</v>
      </c>
      <c r="F1462" s="10">
        <f>E1462/239231564</f>
        <v>0.97024501332106827</v>
      </c>
      <c r="G1462" s="11">
        <v>48</v>
      </c>
      <c r="H1462" s="10">
        <f t="shared" si="282"/>
        <v>0.12182741116751269</v>
      </c>
      <c r="I1462" s="11">
        <v>7118332</v>
      </c>
      <c r="J1462" s="10">
        <f>I1462/239231564</f>
        <v>2.9754986678931714E-2</v>
      </c>
    </row>
    <row r="1463" spans="1:11">
      <c r="A1463" s="3" t="s">
        <v>65</v>
      </c>
      <c r="B1463" s="20">
        <v>5131</v>
      </c>
      <c r="C1463" s="7">
        <v>1001</v>
      </c>
      <c r="D1463" s="8">
        <f t="shared" si="281"/>
        <v>0.19508867667121418</v>
      </c>
      <c r="E1463" s="11">
        <v>133605</v>
      </c>
      <c r="F1463" s="10">
        <f>E1463/783337</f>
        <v>0.17055877610785652</v>
      </c>
      <c r="G1463" s="11">
        <v>4130</v>
      </c>
      <c r="H1463" s="10">
        <f t="shared" si="282"/>
        <v>0.80491132332878579</v>
      </c>
      <c r="I1463" s="11">
        <v>649732</v>
      </c>
      <c r="J1463" s="10">
        <f>I1463/783337</f>
        <v>0.82944122389214348</v>
      </c>
      <c r="K1463" s="22"/>
    </row>
    <row r="1464" spans="1:11" ht="15.75">
      <c r="B1464" s="15">
        <f>SUM(B1459:B1463)</f>
        <v>617269</v>
      </c>
      <c r="C1464" s="16">
        <f>SUM(C1459:C1463)</f>
        <v>198682</v>
      </c>
      <c r="D1464" s="17">
        <f t="shared" si="281"/>
        <v>0.321872635755238</v>
      </c>
      <c r="E1464" s="18">
        <f>SUM(E1459:E1463)</f>
        <v>500678505</v>
      </c>
      <c r="F1464" s="21">
        <f>E1464/870494449</f>
        <v>0.57516564933316416</v>
      </c>
      <c r="G1464" s="18">
        <f>SUM(G1459:G1463)</f>
        <v>418587</v>
      </c>
      <c r="H1464" s="21">
        <f t="shared" si="282"/>
        <v>0.67812736424476205</v>
      </c>
      <c r="I1464" s="18">
        <f>SUM(I1459:I1463)</f>
        <v>369815944</v>
      </c>
      <c r="J1464" s="21">
        <f>I1464/870494449</f>
        <v>0.42483435066683578</v>
      </c>
      <c r="K1464" s="1" t="s">
        <v>125</v>
      </c>
    </row>
    <row r="1465" spans="1:11" ht="15.75">
      <c r="A1465" s="1" t="s">
        <v>137</v>
      </c>
      <c r="B1465" s="3"/>
      <c r="J1465" s="3"/>
    </row>
    <row r="1466" spans="1:11" ht="15.75">
      <c r="A1466" s="1" t="s">
        <v>153</v>
      </c>
      <c r="B1466" s="28"/>
      <c r="C1466" s="28" t="s">
        <v>2</v>
      </c>
      <c r="D1466" s="29"/>
      <c r="E1466" s="29"/>
      <c r="F1466" s="30"/>
      <c r="G1466" s="31" t="s">
        <v>3</v>
      </c>
      <c r="H1466" s="30"/>
      <c r="I1466" s="30"/>
      <c r="J1466" s="30"/>
    </row>
    <row r="1467" spans="1:11">
      <c r="B1467" s="4" t="s">
        <v>4</v>
      </c>
      <c r="C1467" s="4" t="s">
        <v>5</v>
      </c>
      <c r="D1467" s="4"/>
      <c r="E1467" s="4" t="s">
        <v>6</v>
      </c>
      <c r="F1467" s="5"/>
      <c r="G1467" s="4" t="s">
        <v>7</v>
      </c>
      <c r="H1467" s="5"/>
      <c r="I1467" s="5" t="s">
        <v>6</v>
      </c>
      <c r="J1467" s="5"/>
    </row>
    <row r="1468" spans="1:11">
      <c r="B1468" s="4" t="s">
        <v>8</v>
      </c>
      <c r="C1468" s="4" t="s">
        <v>8</v>
      </c>
      <c r="D1468" s="4" t="s">
        <v>9</v>
      </c>
      <c r="E1468" s="4" t="s">
        <v>8</v>
      </c>
      <c r="F1468" s="5" t="s">
        <v>9</v>
      </c>
      <c r="G1468" s="5" t="s">
        <v>8</v>
      </c>
      <c r="H1468" s="5" t="s">
        <v>9</v>
      </c>
      <c r="I1468" s="5" t="s">
        <v>8</v>
      </c>
      <c r="J1468" s="5" t="s">
        <v>9</v>
      </c>
      <c r="K1468" s="3" t="s">
        <v>10</v>
      </c>
    </row>
    <row r="1469" spans="1:11">
      <c r="B1469" s="4"/>
      <c r="C1469" s="4"/>
      <c r="D1469" s="4"/>
      <c r="E1469" s="4"/>
      <c r="F1469" s="4"/>
      <c r="G1469" s="4"/>
      <c r="H1469" s="4"/>
      <c r="I1469" s="4"/>
      <c r="J1469" s="4"/>
      <c r="K1469" s="3" t="s">
        <v>11</v>
      </c>
    </row>
    <row r="1470" spans="1:11">
      <c r="A1470" s="3" t="s">
        <v>10</v>
      </c>
      <c r="B1470" s="6">
        <v>548318</v>
      </c>
      <c r="C1470" s="7">
        <v>172525</v>
      </c>
      <c r="D1470" s="8">
        <f t="shared" ref="D1470:D1475" si="283">C1470/B1470</f>
        <v>0.31464405691587727</v>
      </c>
      <c r="E1470" s="11">
        <v>90154072</v>
      </c>
      <c r="F1470" s="10">
        <f>E1470/347794966</f>
        <v>0.25921614978176538</v>
      </c>
      <c r="G1470" s="11">
        <v>375793</v>
      </c>
      <c r="H1470" s="10">
        <f t="shared" ref="H1470:H1475" si="284">G1470/B1470</f>
        <v>0.68535594308412273</v>
      </c>
      <c r="I1470" s="11">
        <v>257640894</v>
      </c>
      <c r="J1470" s="10">
        <f>I1470/347794966</f>
        <v>0.74078385021823456</v>
      </c>
      <c r="K1470" s="3" t="s">
        <v>12</v>
      </c>
    </row>
    <row r="1471" spans="1:11">
      <c r="A1471" s="3" t="s">
        <v>11</v>
      </c>
      <c r="B1471" s="20">
        <v>50677</v>
      </c>
      <c r="C1471" s="7">
        <v>21324</v>
      </c>
      <c r="D1471" s="8">
        <f t="shared" si="283"/>
        <v>0.4207826035479606</v>
      </c>
      <c r="E1471" s="11">
        <v>20267042</v>
      </c>
      <c r="F1471" s="10">
        <f>E1471/45975399</f>
        <v>0.4408236239559335</v>
      </c>
      <c r="G1471" s="11">
        <v>29353</v>
      </c>
      <c r="H1471" s="10">
        <f t="shared" si="284"/>
        <v>0.5792173964520394</v>
      </c>
      <c r="I1471" s="11">
        <v>25708357</v>
      </c>
      <c r="J1471" s="10">
        <f>I1471/45975399</f>
        <v>0.55917637604406656</v>
      </c>
    </row>
    <row r="1472" spans="1:11">
      <c r="A1472" s="3" t="s">
        <v>12</v>
      </c>
      <c r="B1472" s="20">
        <v>12233</v>
      </c>
      <c r="C1472" s="7">
        <v>5840</v>
      </c>
      <c r="D1472" s="8">
        <f t="shared" si="283"/>
        <v>0.47739720428349547</v>
      </c>
      <c r="E1472" s="11">
        <v>104426285</v>
      </c>
      <c r="F1472" s="10">
        <f>E1472/167237767</f>
        <v>0.6244180777658912</v>
      </c>
      <c r="G1472" s="11">
        <v>6393</v>
      </c>
      <c r="H1472" s="10">
        <f t="shared" si="284"/>
        <v>0.52260279571650459</v>
      </c>
      <c r="I1472" s="11">
        <v>62811482</v>
      </c>
      <c r="J1472" s="10">
        <f>I1472/167237767</f>
        <v>0.37558192223410874</v>
      </c>
    </row>
    <row r="1473" spans="1:11">
      <c r="A1473" s="3" t="s">
        <v>13</v>
      </c>
      <c r="B1473" s="20">
        <v>387</v>
      </c>
      <c r="C1473" s="7">
        <v>341</v>
      </c>
      <c r="D1473" s="8">
        <f t="shared" si="283"/>
        <v>0.88113695090439281</v>
      </c>
      <c r="E1473" s="11">
        <v>234977192</v>
      </c>
      <c r="F1473" s="10">
        <f>E1473/242131155</f>
        <v>0.9704541821559477</v>
      </c>
      <c r="G1473" s="11">
        <v>46</v>
      </c>
      <c r="H1473" s="10">
        <f t="shared" si="284"/>
        <v>0.11886304909560723</v>
      </c>
      <c r="I1473" s="11">
        <v>7153963</v>
      </c>
      <c r="J1473" s="10">
        <f>I1473/242131155</f>
        <v>2.9545817844052327E-2</v>
      </c>
      <c r="K1473" s="22"/>
    </row>
    <row r="1474" spans="1:11" ht="15.75">
      <c r="A1474" s="3" t="s">
        <v>65</v>
      </c>
      <c r="B1474" s="20">
        <v>5594</v>
      </c>
      <c r="C1474" s="7">
        <v>1016</v>
      </c>
      <c r="D1474" s="8">
        <f t="shared" si="283"/>
        <v>0.18162316767965678</v>
      </c>
      <c r="E1474" s="11">
        <v>107977</v>
      </c>
      <c r="F1474" s="10">
        <f>E1474/775919</f>
        <v>0.13916014429341206</v>
      </c>
      <c r="G1474" s="11">
        <v>4578</v>
      </c>
      <c r="H1474" s="10">
        <f t="shared" si="284"/>
        <v>0.81837683232034319</v>
      </c>
      <c r="I1474" s="11">
        <v>667942</v>
      </c>
      <c r="J1474" s="10">
        <f>I1474/775919</f>
        <v>0.86083985570658794</v>
      </c>
      <c r="K1474" s="1" t="s">
        <v>125</v>
      </c>
    </row>
    <row r="1475" spans="1:11" ht="15.75">
      <c r="B1475" s="15">
        <f>SUM(B1470:B1474)</f>
        <v>617209</v>
      </c>
      <c r="C1475" s="16">
        <f>SUM(C1470:C1474)</f>
        <v>201046</v>
      </c>
      <c r="D1475" s="17">
        <f t="shared" si="283"/>
        <v>0.32573407063085602</v>
      </c>
      <c r="E1475" s="18">
        <f>SUM(E1470:E1474)</f>
        <v>449932568</v>
      </c>
      <c r="F1475" s="21">
        <f>E1475/803915206</f>
        <v>0.55967664828571484</v>
      </c>
      <c r="G1475" s="18">
        <f>SUM(G1470:G1474)</f>
        <v>416163</v>
      </c>
      <c r="H1475" s="21">
        <f t="shared" si="284"/>
        <v>0.67426592936914398</v>
      </c>
      <c r="I1475" s="18">
        <f>SUM(I1470:I1474)</f>
        <v>353982638</v>
      </c>
      <c r="J1475" s="21">
        <f>I1475/803915206</f>
        <v>0.44032335171428516</v>
      </c>
    </row>
    <row r="1476" spans="1:11" ht="15.75">
      <c r="A1476" s="1" t="s">
        <v>137</v>
      </c>
      <c r="B1476" s="3"/>
      <c r="J1476" s="3"/>
    </row>
    <row r="1477" spans="1:11" ht="15.75">
      <c r="A1477" s="1" t="s">
        <v>154</v>
      </c>
      <c r="B1477" s="28"/>
      <c r="C1477" s="28" t="s">
        <v>2</v>
      </c>
      <c r="D1477" s="29"/>
      <c r="E1477" s="29"/>
      <c r="F1477" s="30"/>
      <c r="G1477" s="31" t="s">
        <v>3</v>
      </c>
      <c r="H1477" s="30"/>
      <c r="I1477" s="30"/>
      <c r="J1477" s="30"/>
    </row>
    <row r="1478" spans="1:11">
      <c r="B1478" s="4" t="s">
        <v>4</v>
      </c>
      <c r="C1478" s="4" t="s">
        <v>5</v>
      </c>
      <c r="D1478" s="4"/>
      <c r="E1478" s="4" t="s">
        <v>6</v>
      </c>
      <c r="F1478" s="5"/>
      <c r="G1478" s="4" t="s">
        <v>7</v>
      </c>
      <c r="H1478" s="5"/>
      <c r="I1478" s="5" t="s">
        <v>6</v>
      </c>
      <c r="J1478" s="5"/>
      <c r="K1478" s="3" t="s">
        <v>10</v>
      </c>
    </row>
    <row r="1479" spans="1:11">
      <c r="B1479" s="4" t="s">
        <v>8</v>
      </c>
      <c r="C1479" s="4" t="s">
        <v>8</v>
      </c>
      <c r="D1479" s="4" t="s">
        <v>9</v>
      </c>
      <c r="E1479" s="4" t="s">
        <v>8</v>
      </c>
      <c r="F1479" s="5" t="s">
        <v>9</v>
      </c>
      <c r="G1479" s="5" t="s">
        <v>8</v>
      </c>
      <c r="H1479" s="5" t="s">
        <v>9</v>
      </c>
      <c r="I1479" s="5" t="s">
        <v>8</v>
      </c>
      <c r="J1479" s="5" t="s">
        <v>9</v>
      </c>
      <c r="K1479" s="3" t="s">
        <v>11</v>
      </c>
    </row>
    <row r="1480" spans="1:11">
      <c r="B1480" s="4"/>
      <c r="C1480" s="4"/>
      <c r="D1480" s="4"/>
      <c r="E1480" s="4"/>
      <c r="F1480" s="4"/>
      <c r="G1480" s="4"/>
      <c r="H1480" s="4"/>
      <c r="I1480" s="4"/>
      <c r="J1480" s="4"/>
      <c r="K1480" s="3" t="s">
        <v>12</v>
      </c>
    </row>
    <row r="1481" spans="1:11">
      <c r="A1481" s="3" t="s">
        <v>10</v>
      </c>
      <c r="B1481" s="6">
        <v>547936</v>
      </c>
      <c r="C1481" s="7">
        <v>171952</v>
      </c>
      <c r="D1481" s="8">
        <f t="shared" ref="D1481:D1486" si="285">C1481/B1481</f>
        <v>0.31381767213689188</v>
      </c>
      <c r="E1481" s="11">
        <v>100587301</v>
      </c>
      <c r="F1481" s="10">
        <f>E1481/275605453</f>
        <v>0.36496847179580294</v>
      </c>
      <c r="G1481" s="11">
        <v>375984</v>
      </c>
      <c r="H1481" s="10">
        <f t="shared" ref="H1481:H1486" si="286">G1481/B1481</f>
        <v>0.68618232786310807</v>
      </c>
      <c r="I1481" s="11">
        <v>175018152</v>
      </c>
      <c r="J1481" s="10">
        <f>I1481/275605453</f>
        <v>0.63503152820419706</v>
      </c>
    </row>
    <row r="1482" spans="1:11">
      <c r="A1482" s="3" t="s">
        <v>11</v>
      </c>
      <c r="B1482" s="20">
        <v>50757</v>
      </c>
      <c r="C1482" s="7">
        <v>21544</v>
      </c>
      <c r="D1482" s="8">
        <f t="shared" si="285"/>
        <v>0.42445376992336031</v>
      </c>
      <c r="E1482" s="11">
        <v>17589991</v>
      </c>
      <c r="F1482" s="10">
        <f>E1482/39105191</f>
        <v>0.44981217455247824</v>
      </c>
      <c r="G1482" s="11">
        <v>29213</v>
      </c>
      <c r="H1482" s="10">
        <f t="shared" si="286"/>
        <v>0.57554623007663963</v>
      </c>
      <c r="I1482" s="11">
        <v>21515200</v>
      </c>
      <c r="J1482" s="10">
        <f>I1482/39105191</f>
        <v>0.55018782544752176</v>
      </c>
    </row>
    <row r="1483" spans="1:11">
      <c r="A1483" s="3" t="s">
        <v>12</v>
      </c>
      <c r="B1483" s="20">
        <v>12256</v>
      </c>
      <c r="C1483" s="7">
        <v>5883</v>
      </c>
      <c r="D1483" s="8">
        <f t="shared" si="285"/>
        <v>0.48000979112271541</v>
      </c>
      <c r="E1483" s="11">
        <v>98059595</v>
      </c>
      <c r="F1483" s="10">
        <f>E1483/155102260</f>
        <v>0.63222544274983483</v>
      </c>
      <c r="G1483" s="11">
        <v>6373</v>
      </c>
      <c r="H1483" s="10">
        <f t="shared" si="286"/>
        <v>0.51999020887728464</v>
      </c>
      <c r="I1483" s="11">
        <v>57042665</v>
      </c>
      <c r="J1483" s="10">
        <f>I1483/155102260</f>
        <v>0.36777455725016517</v>
      </c>
      <c r="K1483" s="22"/>
    </row>
    <row r="1484" spans="1:11" ht="15.75">
      <c r="A1484" s="3" t="s">
        <v>13</v>
      </c>
      <c r="B1484" s="20">
        <v>395</v>
      </c>
      <c r="C1484" s="7">
        <v>350</v>
      </c>
      <c r="D1484" s="8">
        <f t="shared" si="285"/>
        <v>0.88607594936708856</v>
      </c>
      <c r="E1484" s="11">
        <v>232800901</v>
      </c>
      <c r="F1484" s="10">
        <f>E1484/239623267</f>
        <v>0.97152878313774094</v>
      </c>
      <c r="G1484" s="11">
        <v>45</v>
      </c>
      <c r="H1484" s="10">
        <f t="shared" si="286"/>
        <v>0.11392405063291139</v>
      </c>
      <c r="I1484" s="11">
        <v>6822366</v>
      </c>
      <c r="J1484" s="10">
        <f>I1484/239623267</f>
        <v>2.8471216862259039E-2</v>
      </c>
      <c r="K1484" s="1" t="s">
        <v>125</v>
      </c>
    </row>
    <row r="1485" spans="1:11">
      <c r="A1485" s="3" t="s">
        <v>65</v>
      </c>
      <c r="B1485" s="20">
        <v>5597</v>
      </c>
      <c r="C1485" s="7">
        <v>1021</v>
      </c>
      <c r="D1485" s="8">
        <f t="shared" si="285"/>
        <v>0.18241915311774165</v>
      </c>
      <c r="E1485" s="11">
        <v>128461</v>
      </c>
      <c r="F1485" s="10">
        <f>E1485/777233</f>
        <v>0.16527990962812952</v>
      </c>
      <c r="G1485" s="11">
        <v>4576</v>
      </c>
      <c r="H1485" s="10">
        <f t="shared" si="286"/>
        <v>0.81758084688225841</v>
      </c>
      <c r="I1485" s="11">
        <v>648772</v>
      </c>
      <c r="J1485" s="10">
        <f>I1485/777233</f>
        <v>0.83472009037187045</v>
      </c>
    </row>
    <row r="1486" spans="1:11" ht="15.75">
      <c r="B1486" s="15">
        <f>SUM(B1481:B1485)</f>
        <v>616941</v>
      </c>
      <c r="C1486" s="16">
        <f>SUM(C1481:C1485)</f>
        <v>200750</v>
      </c>
      <c r="D1486" s="17">
        <f t="shared" si="285"/>
        <v>0.32539578338933545</v>
      </c>
      <c r="E1486" s="18">
        <f>SUM(E1481:E1485)</f>
        <v>449166249</v>
      </c>
      <c r="F1486" s="21">
        <f>E1486/710213404</f>
        <v>0.63243842832343955</v>
      </c>
      <c r="G1486" s="18">
        <f>SUM(G1481:G1485)</f>
        <v>416191</v>
      </c>
      <c r="H1486" s="21">
        <f t="shared" si="286"/>
        <v>0.6746042166106645</v>
      </c>
      <c r="I1486" s="18">
        <f>SUM(I1481:I1485)</f>
        <v>261047155</v>
      </c>
      <c r="J1486" s="21">
        <f>I1486/710213404</f>
        <v>0.36756157167656045</v>
      </c>
    </row>
    <row r="1487" spans="1:11" ht="15.75">
      <c r="A1487" s="1" t="s">
        <v>137</v>
      </c>
      <c r="B1487" s="15"/>
      <c r="C1487" s="16"/>
      <c r="D1487" s="17"/>
      <c r="E1487" s="18"/>
      <c r="F1487" s="21"/>
      <c r="G1487" s="18"/>
      <c r="H1487" s="21"/>
      <c r="I1487" s="18"/>
      <c r="J1487" s="21"/>
    </row>
    <row r="1488" spans="1:11" ht="15.75">
      <c r="A1488" s="1" t="s">
        <v>155</v>
      </c>
      <c r="B1488" s="28"/>
      <c r="C1488" s="28" t="s">
        <v>2</v>
      </c>
      <c r="D1488" s="29"/>
      <c r="E1488" s="29"/>
      <c r="F1488" s="30"/>
      <c r="G1488" s="31" t="s">
        <v>3</v>
      </c>
      <c r="H1488" s="30"/>
      <c r="I1488" s="30"/>
      <c r="J1488" s="30"/>
      <c r="K1488" s="3" t="s">
        <v>10</v>
      </c>
    </row>
    <row r="1489" spans="1:11">
      <c r="B1489" s="4" t="s">
        <v>4</v>
      </c>
      <c r="C1489" s="4" t="s">
        <v>5</v>
      </c>
      <c r="D1489" s="4"/>
      <c r="E1489" s="4" t="s">
        <v>6</v>
      </c>
      <c r="F1489" s="5"/>
      <c r="G1489" s="4" t="s">
        <v>7</v>
      </c>
      <c r="H1489" s="5"/>
      <c r="I1489" s="5" t="s">
        <v>6</v>
      </c>
      <c r="J1489" s="5"/>
      <c r="K1489" s="3" t="s">
        <v>11</v>
      </c>
    </row>
    <row r="1490" spans="1:11">
      <c r="B1490" s="4" t="s">
        <v>8</v>
      </c>
      <c r="C1490" s="4" t="s">
        <v>8</v>
      </c>
      <c r="D1490" s="4" t="s">
        <v>9</v>
      </c>
      <c r="E1490" s="4" t="s">
        <v>8</v>
      </c>
      <c r="F1490" s="5" t="s">
        <v>9</v>
      </c>
      <c r="G1490" s="5" t="s">
        <v>8</v>
      </c>
      <c r="H1490" s="5" t="s">
        <v>9</v>
      </c>
      <c r="I1490" s="5" t="s">
        <v>8</v>
      </c>
      <c r="J1490" s="5" t="s">
        <v>9</v>
      </c>
      <c r="K1490" s="3" t="s">
        <v>12</v>
      </c>
    </row>
    <row r="1491" spans="1:11">
      <c r="B1491" s="4"/>
      <c r="C1491" s="4"/>
      <c r="D1491" s="4"/>
      <c r="E1491" s="4"/>
      <c r="F1491" s="4"/>
      <c r="G1491" s="4"/>
      <c r="H1491" s="4"/>
      <c r="I1491" s="4"/>
      <c r="J1491" s="4"/>
    </row>
    <row r="1492" spans="1:11">
      <c r="A1492" s="3" t="s">
        <v>10</v>
      </c>
      <c r="B1492" s="6">
        <v>547325</v>
      </c>
      <c r="C1492" s="7">
        <v>172525</v>
      </c>
      <c r="D1492" s="8">
        <f t="shared" ref="D1492:D1497" si="287">C1492/B1492</f>
        <v>0.31521490887498288</v>
      </c>
      <c r="E1492" s="11">
        <v>90154072</v>
      </c>
      <c r="F1492" s="10">
        <f>E1492/245698900</f>
        <v>0.366929082710586</v>
      </c>
      <c r="G1492" s="11">
        <v>374800</v>
      </c>
      <c r="H1492" s="10">
        <f t="shared" ref="H1492:H1497" si="288">G1492/B1492</f>
        <v>0.68478509112501718</v>
      </c>
      <c r="I1492" s="11">
        <v>155544828</v>
      </c>
      <c r="J1492" s="10">
        <f>I1492/245698900</f>
        <v>0.633070917289414</v>
      </c>
    </row>
    <row r="1493" spans="1:11">
      <c r="A1493" s="3" t="s">
        <v>11</v>
      </c>
      <c r="B1493" s="20">
        <v>50821</v>
      </c>
      <c r="C1493" s="7">
        <v>21660</v>
      </c>
      <c r="D1493" s="8">
        <f t="shared" si="287"/>
        <v>0.42620176698608842</v>
      </c>
      <c r="E1493" s="11">
        <v>17290303</v>
      </c>
      <c r="F1493" s="10">
        <f>E1493/38010734</f>
        <v>0.45487948220100144</v>
      </c>
      <c r="G1493" s="11">
        <v>29161</v>
      </c>
      <c r="H1493" s="10">
        <f t="shared" si="288"/>
        <v>0.57379823301391153</v>
      </c>
      <c r="I1493" s="11">
        <v>20720431</v>
      </c>
      <c r="J1493" s="10">
        <f>I1493/38010734</f>
        <v>0.54512051779899862</v>
      </c>
      <c r="K1493" s="22"/>
    </row>
    <row r="1494" spans="1:11" ht="15.75">
      <c r="A1494" s="3" t="s">
        <v>12</v>
      </c>
      <c r="B1494" s="20">
        <v>12276</v>
      </c>
      <c r="C1494" s="7">
        <v>5907</v>
      </c>
      <c r="D1494" s="8">
        <f t="shared" si="287"/>
        <v>0.48118279569892475</v>
      </c>
      <c r="E1494" s="11">
        <v>98459022</v>
      </c>
      <c r="F1494" s="10">
        <f>E1494/156926233</f>
        <v>0.62742232523991071</v>
      </c>
      <c r="G1494" s="11">
        <v>6369</v>
      </c>
      <c r="H1494" s="10">
        <f t="shared" si="288"/>
        <v>0.51881720430107525</v>
      </c>
      <c r="I1494" s="11">
        <v>58467211</v>
      </c>
      <c r="J1494" s="10">
        <f>I1494/156926233</f>
        <v>0.37257767476008935</v>
      </c>
      <c r="K1494" s="1" t="s">
        <v>125</v>
      </c>
    </row>
    <row r="1495" spans="1:11">
      <c r="A1495" s="3" t="s">
        <v>13</v>
      </c>
      <c r="B1495" s="20">
        <v>393</v>
      </c>
      <c r="C1495" s="7">
        <v>350</v>
      </c>
      <c r="D1495" s="8">
        <f t="shared" si="287"/>
        <v>0.89058524173027986</v>
      </c>
      <c r="E1495" s="11">
        <v>231707289</v>
      </c>
      <c r="F1495" s="10">
        <f>E1495/238575887</f>
        <v>0.97121000748914743</v>
      </c>
      <c r="G1495" s="11">
        <v>43</v>
      </c>
      <c r="H1495" s="10">
        <f t="shared" si="288"/>
        <v>0.10941475826972011</v>
      </c>
      <c r="I1495" s="11">
        <v>6868598</v>
      </c>
      <c r="J1495" s="10">
        <f>I1495/238575887</f>
        <v>2.8789992510852531E-2</v>
      </c>
    </row>
    <row r="1496" spans="1:11">
      <c r="A1496" s="3" t="s">
        <v>65</v>
      </c>
      <c r="B1496" s="20">
        <v>5619</v>
      </c>
      <c r="C1496" s="7">
        <v>1016</v>
      </c>
      <c r="D1496" s="8">
        <f t="shared" si="287"/>
        <v>0.1808150916533191</v>
      </c>
      <c r="E1496" s="11">
        <v>107977</v>
      </c>
      <c r="F1496" s="10">
        <f>E1496/778864</f>
        <v>0.13863395920212002</v>
      </c>
      <c r="G1496" s="11">
        <v>4603</v>
      </c>
      <c r="H1496" s="10">
        <f t="shared" si="288"/>
        <v>0.8191849083466809</v>
      </c>
      <c r="I1496" s="11">
        <v>670887</v>
      </c>
      <c r="J1496" s="10">
        <f>I1496/778864</f>
        <v>0.86136604079788004</v>
      </c>
    </row>
    <row r="1497" spans="1:11" ht="15.75">
      <c r="B1497" s="15">
        <f>SUM(B1492:B1496)</f>
        <v>616434</v>
      </c>
      <c r="C1497" s="16">
        <f>SUM(C1492:C1496)</f>
        <v>201458</v>
      </c>
      <c r="D1497" s="17">
        <f t="shared" si="287"/>
        <v>0.32681195391558543</v>
      </c>
      <c r="E1497" s="18">
        <f>SUM(E1492:E1496)</f>
        <v>437718663</v>
      </c>
      <c r="F1497" s="21">
        <f>E1497/679990618</f>
        <v>0.64371279751980348</v>
      </c>
      <c r="G1497" s="18">
        <f>SUM(G1492:G1496)</f>
        <v>414976</v>
      </c>
      <c r="H1497" s="21">
        <f t="shared" si="288"/>
        <v>0.67318804608441452</v>
      </c>
      <c r="I1497" s="18">
        <f>SUM(I1492:I1496)</f>
        <v>242271955</v>
      </c>
      <c r="J1497" s="21">
        <f>I1497/679990618</f>
        <v>0.35628720248019657</v>
      </c>
    </row>
    <row r="1498" spans="1:11" ht="15.75">
      <c r="A1498" s="1" t="s">
        <v>137</v>
      </c>
      <c r="B1498" s="15"/>
      <c r="C1498" s="16"/>
      <c r="D1498" s="17"/>
      <c r="E1498" s="18"/>
      <c r="F1498" s="21"/>
      <c r="G1498" s="18"/>
      <c r="H1498" s="21"/>
      <c r="I1498" s="18"/>
      <c r="J1498" s="21"/>
      <c r="K1498" s="3" t="s">
        <v>10</v>
      </c>
    </row>
    <row r="1499" spans="1:11" ht="15.75">
      <c r="A1499" s="1" t="s">
        <v>156</v>
      </c>
      <c r="B1499" s="28"/>
      <c r="C1499" s="28" t="s">
        <v>2</v>
      </c>
      <c r="D1499" s="29"/>
      <c r="E1499" s="29"/>
      <c r="F1499" s="30"/>
      <c r="G1499" s="31" t="s">
        <v>3</v>
      </c>
      <c r="H1499" s="30"/>
      <c r="I1499" s="30"/>
      <c r="J1499" s="30"/>
      <c r="K1499" s="3" t="s">
        <v>11</v>
      </c>
    </row>
    <row r="1500" spans="1:11">
      <c r="B1500" s="4" t="s">
        <v>4</v>
      </c>
      <c r="C1500" s="4" t="s">
        <v>5</v>
      </c>
      <c r="D1500" s="4"/>
      <c r="E1500" s="4" t="s">
        <v>6</v>
      </c>
      <c r="F1500" s="5"/>
      <c r="G1500" s="4" t="s">
        <v>7</v>
      </c>
      <c r="H1500" s="5"/>
      <c r="I1500" s="5" t="s">
        <v>6</v>
      </c>
      <c r="J1500" s="5"/>
      <c r="K1500" s="3" t="s">
        <v>12</v>
      </c>
    </row>
    <row r="1501" spans="1:11">
      <c r="B1501" s="4" t="s">
        <v>8</v>
      </c>
      <c r="C1501" s="4" t="s">
        <v>8</v>
      </c>
      <c r="D1501" s="4" t="s">
        <v>9</v>
      </c>
      <c r="E1501" s="4" t="s">
        <v>8</v>
      </c>
      <c r="F1501" s="5" t="s">
        <v>9</v>
      </c>
      <c r="G1501" s="5" t="s">
        <v>8</v>
      </c>
      <c r="H1501" s="5" t="s">
        <v>9</v>
      </c>
      <c r="I1501" s="5" t="s">
        <v>8</v>
      </c>
      <c r="J1501" s="5" t="s">
        <v>9</v>
      </c>
    </row>
    <row r="1502" spans="1:11">
      <c r="B1502" s="4"/>
      <c r="C1502" s="4"/>
      <c r="D1502" s="4"/>
      <c r="E1502" s="4"/>
      <c r="F1502" s="4"/>
      <c r="G1502" s="4"/>
      <c r="H1502" s="4"/>
      <c r="I1502" s="4"/>
      <c r="J1502" s="4"/>
    </row>
    <row r="1503" spans="1:11">
      <c r="A1503" s="3" t="s">
        <v>10</v>
      </c>
      <c r="B1503" s="6">
        <v>546910</v>
      </c>
      <c r="C1503" s="7">
        <v>172834</v>
      </c>
      <c r="D1503" s="8">
        <f t="shared" ref="D1503:D1508" si="289">C1503/B1503</f>
        <v>0.31601908906401421</v>
      </c>
      <c r="E1503" s="11">
        <v>113160357</v>
      </c>
      <c r="F1503" s="10">
        <f>E1503/308051731</f>
        <v>0.36734205853237034</v>
      </c>
      <c r="G1503" s="11">
        <v>374076</v>
      </c>
      <c r="H1503" s="10">
        <f t="shared" ref="H1503:H1508" si="290">G1503/B1503</f>
        <v>0.68398091093598579</v>
      </c>
      <c r="I1503" s="11">
        <v>194891374</v>
      </c>
      <c r="J1503" s="10">
        <f>I1503/308051731</f>
        <v>0.63265794146762966</v>
      </c>
      <c r="K1503" s="22"/>
    </row>
    <row r="1504" spans="1:11" ht="15.75">
      <c r="A1504" s="3" t="s">
        <v>11</v>
      </c>
      <c r="B1504" s="20">
        <v>50795</v>
      </c>
      <c r="C1504" s="7">
        <v>21575</v>
      </c>
      <c r="D1504" s="8">
        <f t="shared" si="289"/>
        <v>0.42474653017029235</v>
      </c>
      <c r="E1504" s="11">
        <v>21349576</v>
      </c>
      <c r="F1504" s="10">
        <f>E1504/47904027</f>
        <v>0.44567393050275295</v>
      </c>
      <c r="G1504" s="11">
        <v>29220</v>
      </c>
      <c r="H1504" s="10">
        <f t="shared" si="290"/>
        <v>0.5752534698297076</v>
      </c>
      <c r="I1504" s="11">
        <v>26554451</v>
      </c>
      <c r="J1504" s="10">
        <f>I1504/47904027</f>
        <v>0.55432606949724705</v>
      </c>
      <c r="K1504" s="1" t="s">
        <v>125</v>
      </c>
    </row>
    <row r="1505" spans="1:11">
      <c r="A1505" s="3" t="s">
        <v>12</v>
      </c>
      <c r="B1505" s="20">
        <v>12197</v>
      </c>
      <c r="C1505" s="7">
        <v>5809</v>
      </c>
      <c r="D1505" s="8">
        <f t="shared" si="289"/>
        <v>0.47626465524309258</v>
      </c>
      <c r="E1505" s="11">
        <v>116886636</v>
      </c>
      <c r="F1505" s="10">
        <f>E1505/191749297</f>
        <v>0.60958051908790045</v>
      </c>
      <c r="G1505" s="11">
        <v>6388</v>
      </c>
      <c r="H1505" s="10">
        <f t="shared" si="290"/>
        <v>0.52373534475690742</v>
      </c>
      <c r="I1505" s="11">
        <v>74862661</v>
      </c>
      <c r="J1505" s="10">
        <f>I1505/191749297</f>
        <v>0.39041948091209949</v>
      </c>
    </row>
    <row r="1506" spans="1:11">
      <c r="A1506" s="3" t="s">
        <v>13</v>
      </c>
      <c r="B1506" s="20">
        <v>396</v>
      </c>
      <c r="C1506" s="7">
        <v>351</v>
      </c>
      <c r="D1506" s="8">
        <f t="shared" si="289"/>
        <v>0.88636363636363635</v>
      </c>
      <c r="E1506" s="11">
        <v>255293536</v>
      </c>
      <c r="F1506" s="10">
        <f>E1506/265625014</f>
        <v>0.96110502604999393</v>
      </c>
      <c r="G1506" s="11">
        <v>45</v>
      </c>
      <c r="H1506" s="10">
        <f t="shared" si="290"/>
        <v>0.11363636363636363</v>
      </c>
      <c r="I1506" s="11">
        <v>10331478</v>
      </c>
      <c r="J1506" s="10">
        <f>I1506/265625014</f>
        <v>3.889497395000608E-2</v>
      </c>
    </row>
    <row r="1507" spans="1:11">
      <c r="A1507" s="3" t="s">
        <v>65</v>
      </c>
      <c r="B1507" s="20">
        <v>5614</v>
      </c>
      <c r="C1507" s="7">
        <v>1017</v>
      </c>
      <c r="D1507" s="8">
        <f t="shared" si="289"/>
        <v>0.18115425721410758</v>
      </c>
      <c r="E1507" s="11">
        <v>101072</v>
      </c>
      <c r="F1507" s="10">
        <f>E1507/779074</f>
        <v>0.12973350413439544</v>
      </c>
      <c r="G1507" s="11">
        <v>4597</v>
      </c>
      <c r="H1507" s="10">
        <f t="shared" si="290"/>
        <v>0.81884574278589239</v>
      </c>
      <c r="I1507" s="11">
        <v>678002</v>
      </c>
      <c r="J1507" s="10">
        <f>I1507/779074</f>
        <v>0.87026649586560456</v>
      </c>
    </row>
    <row r="1508" spans="1:11" ht="15.75">
      <c r="B1508" s="15">
        <f>SUM(B1503:B1507)</f>
        <v>615912</v>
      </c>
      <c r="C1508" s="16">
        <f>SUM(C1503:C1507)</f>
        <v>201586</v>
      </c>
      <c r="D1508" s="17">
        <f t="shared" si="289"/>
        <v>0.32729675667952562</v>
      </c>
      <c r="E1508" s="18">
        <f>SUM(E1503:E1507)</f>
        <v>506791177</v>
      </c>
      <c r="F1508" s="21">
        <f>E1508/814109143</f>
        <v>0.62251011594399941</v>
      </c>
      <c r="G1508" s="18">
        <f>SUM(G1503:G1507)</f>
        <v>414326</v>
      </c>
      <c r="H1508" s="21">
        <f t="shared" si="290"/>
        <v>0.67270324332047438</v>
      </c>
      <c r="I1508" s="18">
        <f>SUM(I1503:I1507)</f>
        <v>307317966</v>
      </c>
      <c r="J1508" s="21">
        <f>I1508/814109143</f>
        <v>0.37748988405600059</v>
      </c>
      <c r="K1508" s="3" t="s">
        <v>10</v>
      </c>
    </row>
    <row r="1509" spans="1:11" ht="15.75">
      <c r="A1509" s="1" t="s">
        <v>137</v>
      </c>
      <c r="B1509" s="15"/>
      <c r="C1509" s="16"/>
      <c r="D1509" s="17"/>
      <c r="E1509" s="18"/>
      <c r="F1509" s="21"/>
      <c r="G1509" s="18"/>
      <c r="H1509" s="21"/>
      <c r="I1509" s="18"/>
      <c r="J1509" s="21"/>
      <c r="K1509" s="3" t="s">
        <v>11</v>
      </c>
    </row>
    <row r="1510" spans="1:11" ht="15.75">
      <c r="A1510" s="1" t="s">
        <v>157</v>
      </c>
      <c r="B1510" s="28"/>
      <c r="C1510" s="32" t="s">
        <v>2</v>
      </c>
      <c r="D1510" s="29"/>
      <c r="E1510" s="29"/>
      <c r="F1510" s="30"/>
      <c r="G1510" s="31" t="s">
        <v>3</v>
      </c>
      <c r="H1510" s="30"/>
      <c r="I1510" s="30"/>
      <c r="J1510" s="30"/>
      <c r="K1510" s="3" t="s">
        <v>12</v>
      </c>
    </row>
    <row r="1511" spans="1:11">
      <c r="B1511" s="4" t="s">
        <v>4</v>
      </c>
      <c r="C1511" s="6" t="s">
        <v>5</v>
      </c>
      <c r="D1511" s="4"/>
      <c r="E1511" s="4" t="s">
        <v>6</v>
      </c>
      <c r="F1511" s="5"/>
      <c r="G1511" s="4" t="s">
        <v>7</v>
      </c>
      <c r="H1511" s="5"/>
      <c r="I1511" s="5" t="s">
        <v>6</v>
      </c>
      <c r="J1511" s="5"/>
    </row>
    <row r="1512" spans="1:11">
      <c r="B1512" s="4" t="s">
        <v>8</v>
      </c>
      <c r="C1512" s="6" t="s">
        <v>8</v>
      </c>
      <c r="D1512" s="4" t="s">
        <v>9</v>
      </c>
      <c r="E1512" s="4" t="s">
        <v>8</v>
      </c>
      <c r="F1512" s="5" t="s">
        <v>9</v>
      </c>
      <c r="G1512" s="5" t="s">
        <v>8</v>
      </c>
      <c r="H1512" s="5" t="s">
        <v>9</v>
      </c>
      <c r="I1512" s="5" t="s">
        <v>8</v>
      </c>
      <c r="J1512" s="5" t="s">
        <v>9</v>
      </c>
    </row>
    <row r="1513" spans="1:11">
      <c r="B1513" s="4"/>
      <c r="C1513" s="6"/>
      <c r="D1513" s="4"/>
      <c r="E1513" s="4"/>
      <c r="F1513" s="4"/>
      <c r="G1513" s="4"/>
      <c r="H1513" s="4"/>
      <c r="I1513" s="4"/>
      <c r="J1513" s="4"/>
      <c r="K1513" s="22"/>
    </row>
    <row r="1514" spans="1:11" ht="15.75">
      <c r="A1514" s="3" t="s">
        <v>10</v>
      </c>
      <c r="B1514" s="6">
        <v>546811</v>
      </c>
      <c r="C1514" s="7">
        <v>173390</v>
      </c>
      <c r="D1514" s="8">
        <f t="shared" ref="D1514:D1519" si="291">C1514/B1514</f>
        <v>0.3170931089535507</v>
      </c>
      <c r="E1514" s="11">
        <v>118153655</v>
      </c>
      <c r="F1514" s="10">
        <f>E1514/323339043</f>
        <v>0.36541722244164621</v>
      </c>
      <c r="G1514" s="11">
        <v>373421</v>
      </c>
      <c r="H1514" s="10">
        <f t="shared" ref="H1514:H1519" si="292">G1514/B1514</f>
        <v>0.6829068910464493</v>
      </c>
      <c r="I1514" s="11">
        <v>205185388</v>
      </c>
      <c r="J1514" s="10">
        <f>I1514/323339043</f>
        <v>0.63458277755835379</v>
      </c>
      <c r="K1514" s="1" t="s">
        <v>125</v>
      </c>
    </row>
    <row r="1515" spans="1:11">
      <c r="A1515" s="3" t="s">
        <v>11</v>
      </c>
      <c r="B1515" s="20">
        <v>50850</v>
      </c>
      <c r="C1515" s="7">
        <v>21630</v>
      </c>
      <c r="D1515" s="8">
        <f t="shared" si="291"/>
        <v>0.42536873156342181</v>
      </c>
      <c r="E1515" s="11">
        <v>22086970</v>
      </c>
      <c r="F1515" s="10">
        <f>E1515/50116995</f>
        <v>0.44070818691344121</v>
      </c>
      <c r="G1515" s="11">
        <v>29226</v>
      </c>
      <c r="H1515" s="10">
        <f t="shared" si="292"/>
        <v>0.5747492625368732</v>
      </c>
      <c r="I1515" s="11">
        <v>28030025</v>
      </c>
      <c r="J1515" s="10">
        <f>I1515/50116995</f>
        <v>0.55929181308655873</v>
      </c>
    </row>
    <row r="1516" spans="1:11">
      <c r="A1516" s="3" t="s">
        <v>12</v>
      </c>
      <c r="B1516" s="20">
        <v>12089</v>
      </c>
      <c r="C1516" s="7">
        <v>5774</v>
      </c>
      <c r="D1516" s="8">
        <f t="shared" si="291"/>
        <v>0.47762428654148398</v>
      </c>
      <c r="E1516" s="11">
        <v>114976793</v>
      </c>
      <c r="F1516" s="10">
        <f>E1516/190405302</f>
        <v>0.60385289586106172</v>
      </c>
      <c r="G1516" s="11">
        <v>6315</v>
      </c>
      <c r="H1516" s="10">
        <f t="shared" si="292"/>
        <v>0.52237571345851597</v>
      </c>
      <c r="I1516" s="11">
        <v>75428509</v>
      </c>
      <c r="J1516" s="10">
        <f>I1516/190405302</f>
        <v>0.39614710413893833</v>
      </c>
    </row>
    <row r="1517" spans="1:11">
      <c r="A1517" s="3" t="s">
        <v>13</v>
      </c>
      <c r="B1517" s="20">
        <v>395</v>
      </c>
      <c r="C1517" s="7">
        <v>351</v>
      </c>
      <c r="D1517" s="8">
        <f t="shared" si="291"/>
        <v>0.88860759493670882</v>
      </c>
      <c r="E1517" s="11">
        <v>252927433</v>
      </c>
      <c r="F1517" s="10">
        <f>E1517/263302769</f>
        <v>0.96059541629810963</v>
      </c>
      <c r="G1517" s="11">
        <v>44</v>
      </c>
      <c r="H1517" s="10">
        <f t="shared" si="292"/>
        <v>0.11139240506329114</v>
      </c>
      <c r="I1517" s="11">
        <v>10375336</v>
      </c>
      <c r="J1517" s="10">
        <f>I1517/263302769</f>
        <v>3.9404583701890351E-2</v>
      </c>
    </row>
    <row r="1518" spans="1:11">
      <c r="A1518" s="3" t="s">
        <v>65</v>
      </c>
      <c r="B1518" s="20">
        <v>5627</v>
      </c>
      <c r="C1518" s="7">
        <v>1019</v>
      </c>
      <c r="D1518" s="8">
        <f t="shared" si="291"/>
        <v>0.18109116758485871</v>
      </c>
      <c r="E1518" s="11">
        <v>84842</v>
      </c>
      <c r="F1518" s="10">
        <f>E1518/783767</f>
        <v>0.10824900767702646</v>
      </c>
      <c r="G1518" s="11">
        <v>4608</v>
      </c>
      <c r="H1518" s="10">
        <f t="shared" si="292"/>
        <v>0.81890883241514123</v>
      </c>
      <c r="I1518" s="11">
        <v>698925</v>
      </c>
      <c r="J1518" s="10">
        <f>I1518/783767</f>
        <v>0.8917509923229735</v>
      </c>
      <c r="K1518" s="3" t="s">
        <v>10</v>
      </c>
    </row>
    <row r="1519" spans="1:11" ht="15.75">
      <c r="B1519" s="15">
        <f>SUM(B1514:B1518)</f>
        <v>615772</v>
      </c>
      <c r="C1519" s="16">
        <f>SUM(C1514:C1518)</f>
        <v>202164</v>
      </c>
      <c r="D1519" s="17">
        <f t="shared" si="291"/>
        <v>0.32830982896266803</v>
      </c>
      <c r="E1519" s="18">
        <f>SUM(E1514:E1518)</f>
        <v>508229693</v>
      </c>
      <c r="F1519" s="21">
        <f>E1519/827947876</f>
        <v>0.6138426194839347</v>
      </c>
      <c r="G1519" s="18">
        <f>SUM(G1514:G1518)</f>
        <v>413614</v>
      </c>
      <c r="H1519" s="21">
        <f t="shared" si="292"/>
        <v>0.67169991490356817</v>
      </c>
      <c r="I1519" s="18">
        <f>SUM(I1514:I1518)</f>
        <v>319718183</v>
      </c>
      <c r="J1519" s="21">
        <f>I1519/827947876</f>
        <v>0.38615738051606524</v>
      </c>
      <c r="K1519" s="3" t="s">
        <v>11</v>
      </c>
    </row>
    <row r="1520" spans="1:11" ht="15.75">
      <c r="A1520" s="1" t="s">
        <v>137</v>
      </c>
      <c r="B1520" s="15"/>
      <c r="C1520" s="16"/>
      <c r="D1520" s="17"/>
      <c r="E1520" s="18"/>
      <c r="F1520" s="21"/>
      <c r="G1520" s="18"/>
      <c r="H1520" s="21"/>
      <c r="I1520" s="18"/>
      <c r="J1520" s="21"/>
      <c r="K1520" s="3" t="s">
        <v>12</v>
      </c>
    </row>
    <row r="1521" spans="1:11" ht="15.75">
      <c r="A1521" s="1" t="s">
        <v>158</v>
      </c>
      <c r="B1521" s="28"/>
      <c r="C1521" s="32" t="s">
        <v>2</v>
      </c>
      <c r="D1521" s="29"/>
      <c r="E1521" s="29"/>
      <c r="F1521" s="30"/>
      <c r="G1521" s="31" t="s">
        <v>3</v>
      </c>
      <c r="H1521" s="30"/>
      <c r="I1521" s="30"/>
      <c r="J1521" s="30"/>
    </row>
    <row r="1522" spans="1:11">
      <c r="B1522" s="4" t="s">
        <v>4</v>
      </c>
      <c r="C1522" s="6" t="s">
        <v>5</v>
      </c>
      <c r="D1522" s="4"/>
      <c r="E1522" s="4" t="s">
        <v>6</v>
      </c>
      <c r="F1522" s="5"/>
      <c r="G1522" s="4" t="s">
        <v>7</v>
      </c>
      <c r="H1522" s="5"/>
      <c r="I1522" s="5" t="s">
        <v>6</v>
      </c>
      <c r="J1522" s="5"/>
    </row>
    <row r="1523" spans="1:11">
      <c r="B1523" s="4" t="s">
        <v>8</v>
      </c>
      <c r="C1523" s="6" t="s">
        <v>8</v>
      </c>
      <c r="D1523" s="4" t="s">
        <v>9</v>
      </c>
      <c r="E1523" s="4" t="s">
        <v>8</v>
      </c>
      <c r="F1523" s="5" t="s">
        <v>9</v>
      </c>
      <c r="G1523" s="5" t="s">
        <v>8</v>
      </c>
      <c r="H1523" s="5" t="s">
        <v>9</v>
      </c>
      <c r="I1523" s="5" t="s">
        <v>8</v>
      </c>
      <c r="J1523" s="5" t="s">
        <v>9</v>
      </c>
      <c r="K1523" s="22"/>
    </row>
    <row r="1524" spans="1:11" ht="15.75">
      <c r="B1524" s="4"/>
      <c r="C1524" s="6"/>
      <c r="D1524" s="4"/>
      <c r="E1524" s="4"/>
      <c r="F1524" s="4"/>
      <c r="G1524" s="4"/>
      <c r="H1524" s="4"/>
      <c r="I1524" s="4"/>
      <c r="J1524" s="4"/>
      <c r="K1524" s="1" t="s">
        <v>125</v>
      </c>
    </row>
    <row r="1525" spans="1:11">
      <c r="A1525" s="3" t="s">
        <v>10</v>
      </c>
      <c r="B1525" s="6">
        <v>547406</v>
      </c>
      <c r="C1525" s="7">
        <v>176500</v>
      </c>
      <c r="D1525" s="8">
        <f t="shared" ref="D1525:D1530" si="293">C1525/B1525</f>
        <v>0.32242978703192876</v>
      </c>
      <c r="E1525" s="11">
        <v>116717066</v>
      </c>
      <c r="F1525" s="10">
        <f>E1525/309274522</f>
        <v>0.37738985172532252</v>
      </c>
      <c r="G1525" s="11">
        <v>370906</v>
      </c>
      <c r="H1525" s="10">
        <f t="shared" ref="H1525:H1530" si="294">G1525/B1525</f>
        <v>0.67757021296807118</v>
      </c>
      <c r="I1525" s="11">
        <v>192557456</v>
      </c>
      <c r="J1525" s="10">
        <f>I1525/309274522</f>
        <v>0.62261014827467742</v>
      </c>
    </row>
    <row r="1526" spans="1:11">
      <c r="A1526" s="3" t="s">
        <v>11</v>
      </c>
      <c r="B1526" s="20">
        <v>50800</v>
      </c>
      <c r="C1526" s="7">
        <v>21196</v>
      </c>
      <c r="D1526" s="8">
        <f t="shared" si="293"/>
        <v>0.417244094488189</v>
      </c>
      <c r="E1526" s="11">
        <v>20578024</v>
      </c>
      <c r="F1526" s="10">
        <f>E1526/46602203</f>
        <v>0.44156762288684076</v>
      </c>
      <c r="G1526" s="11">
        <v>29604</v>
      </c>
      <c r="H1526" s="10">
        <f t="shared" si="294"/>
        <v>0.582755905511811</v>
      </c>
      <c r="I1526" s="11">
        <v>26024279</v>
      </c>
      <c r="J1526" s="10">
        <f>I1526/46602203</f>
        <v>0.55843452293446294</v>
      </c>
    </row>
    <row r="1527" spans="1:11">
      <c r="A1527" s="3" t="s">
        <v>12</v>
      </c>
      <c r="B1527" s="20">
        <v>12091</v>
      </c>
      <c r="C1527" s="7">
        <v>5822</v>
      </c>
      <c r="D1527" s="8">
        <f t="shared" si="293"/>
        <v>0.48151517657761972</v>
      </c>
      <c r="E1527" s="11">
        <v>108381016</v>
      </c>
      <c r="F1527" s="10">
        <f>E1527/178221384</f>
        <v>0.60812576789326245</v>
      </c>
      <c r="G1527" s="11">
        <v>6269</v>
      </c>
      <c r="H1527" s="10">
        <f t="shared" si="294"/>
        <v>0.51848482342238034</v>
      </c>
      <c r="I1527" s="11">
        <v>69840368</v>
      </c>
      <c r="J1527" s="10">
        <f>I1527/178221384</f>
        <v>0.39187423210673755</v>
      </c>
    </row>
    <row r="1528" spans="1:11">
      <c r="A1528" s="3" t="s">
        <v>13</v>
      </c>
      <c r="B1528" s="20">
        <v>400</v>
      </c>
      <c r="C1528" s="7">
        <v>360</v>
      </c>
      <c r="D1528" s="8">
        <f t="shared" si="293"/>
        <v>0.9</v>
      </c>
      <c r="E1528" s="11">
        <v>224687682</v>
      </c>
      <c r="F1528" s="10">
        <f>E1528/233294148</f>
        <v>0.96310895033680832</v>
      </c>
      <c r="G1528" s="11">
        <v>40</v>
      </c>
      <c r="H1528" s="10">
        <f t="shared" si="294"/>
        <v>0.1</v>
      </c>
      <c r="I1528" s="11">
        <v>8606466</v>
      </c>
      <c r="J1528" s="10">
        <f>I1528/233294148</f>
        <v>3.6891049663191726E-2</v>
      </c>
      <c r="K1528" s="3" t="s">
        <v>10</v>
      </c>
    </row>
    <row r="1529" spans="1:11">
      <c r="A1529" s="3" t="s">
        <v>65</v>
      </c>
      <c r="B1529" s="20">
        <v>5619</v>
      </c>
      <c r="C1529" s="7">
        <v>1016</v>
      </c>
      <c r="D1529" s="8">
        <f t="shared" si="293"/>
        <v>0.1808150916533191</v>
      </c>
      <c r="E1529" s="11">
        <v>74412</v>
      </c>
      <c r="F1529" s="10">
        <f>E1529/782910</f>
        <v>9.5045407518105529E-2</v>
      </c>
      <c r="G1529" s="11">
        <v>4603</v>
      </c>
      <c r="H1529" s="10">
        <f t="shared" si="294"/>
        <v>0.8191849083466809</v>
      </c>
      <c r="I1529" s="11">
        <v>708498</v>
      </c>
      <c r="J1529" s="10">
        <f>I1529/782910</f>
        <v>0.90495459248189447</v>
      </c>
      <c r="K1529" s="3" t="s">
        <v>11</v>
      </c>
    </row>
    <row r="1530" spans="1:11" ht="15.75">
      <c r="B1530" s="15">
        <f>SUM(B1525:B1529)</f>
        <v>616316</v>
      </c>
      <c r="C1530" s="16">
        <f>SUM(C1525:C1529)</f>
        <v>204894</v>
      </c>
      <c r="D1530" s="17">
        <f t="shared" si="293"/>
        <v>0.3324495875492442</v>
      </c>
      <c r="E1530" s="18">
        <f>SUM(E1525:E1529)</f>
        <v>470438200</v>
      </c>
      <c r="F1530" s="21">
        <f>E1530/768175267</f>
        <v>0.61240998013022463</v>
      </c>
      <c r="G1530" s="18">
        <f>SUM(G1525:G1529)</f>
        <v>411422</v>
      </c>
      <c r="H1530" s="21">
        <f t="shared" si="294"/>
        <v>0.66755041245075575</v>
      </c>
      <c r="I1530" s="18">
        <f>SUM(I1525:I1529)</f>
        <v>297737067</v>
      </c>
      <c r="J1530" s="21">
        <f>I1530/768175267</f>
        <v>0.38759001986977537</v>
      </c>
      <c r="K1530" s="3" t="s">
        <v>12</v>
      </c>
    </row>
    <row r="1531" spans="1:11" ht="15.75">
      <c r="A1531" s="1" t="s">
        <v>137</v>
      </c>
      <c r="B1531" s="15"/>
      <c r="C1531" s="16"/>
      <c r="D1531" s="17"/>
      <c r="E1531" s="18"/>
      <c r="F1531" s="21"/>
      <c r="G1531" s="18"/>
      <c r="H1531" s="21"/>
      <c r="I1531" s="18"/>
      <c r="J1531" s="21"/>
    </row>
    <row r="1532" spans="1:11" ht="15.75">
      <c r="A1532" s="1" t="s">
        <v>159</v>
      </c>
      <c r="B1532" s="28"/>
      <c r="C1532" s="32" t="s">
        <v>2</v>
      </c>
      <c r="D1532" s="29"/>
      <c r="E1532" s="29"/>
      <c r="F1532" s="30"/>
      <c r="G1532" s="31" t="s">
        <v>3</v>
      </c>
      <c r="H1532" s="30"/>
      <c r="I1532" s="30"/>
      <c r="J1532" s="30"/>
    </row>
    <row r="1533" spans="1:11">
      <c r="B1533" s="4" t="s">
        <v>4</v>
      </c>
      <c r="C1533" s="6" t="s">
        <v>5</v>
      </c>
      <c r="D1533" s="4"/>
      <c r="E1533" s="4" t="s">
        <v>6</v>
      </c>
      <c r="F1533" s="5"/>
      <c r="G1533" s="4" t="s">
        <v>7</v>
      </c>
      <c r="H1533" s="5"/>
      <c r="I1533" s="5" t="s">
        <v>6</v>
      </c>
      <c r="J1533" s="5"/>
      <c r="K1533" s="22"/>
    </row>
    <row r="1534" spans="1:11" ht="15.75">
      <c r="B1534" s="4" t="s">
        <v>8</v>
      </c>
      <c r="C1534" s="6" t="s">
        <v>8</v>
      </c>
      <c r="D1534" s="4" t="s">
        <v>9</v>
      </c>
      <c r="E1534" s="4" t="s">
        <v>8</v>
      </c>
      <c r="F1534" s="5" t="s">
        <v>9</v>
      </c>
      <c r="G1534" s="5" t="s">
        <v>8</v>
      </c>
      <c r="H1534" s="5" t="s">
        <v>9</v>
      </c>
      <c r="I1534" s="5" t="s">
        <v>8</v>
      </c>
      <c r="J1534" s="5" t="s">
        <v>9</v>
      </c>
      <c r="K1534" s="1" t="s">
        <v>125</v>
      </c>
    </row>
    <row r="1535" spans="1:11">
      <c r="B1535" s="4"/>
      <c r="C1535" s="6"/>
      <c r="D1535" s="4"/>
      <c r="E1535" s="4"/>
      <c r="F1535" s="4"/>
      <c r="G1535" s="4"/>
      <c r="H1535" s="4"/>
      <c r="I1535" s="4"/>
      <c r="J1535" s="4"/>
    </row>
    <row r="1536" spans="1:11">
      <c r="A1536" s="3" t="s">
        <v>10</v>
      </c>
      <c r="B1536" s="6">
        <v>546188</v>
      </c>
      <c r="C1536" s="7">
        <v>180817</v>
      </c>
      <c r="D1536" s="8">
        <f t="shared" ref="D1536:D1541" si="295">C1536/B1536</f>
        <v>0.33105267783254116</v>
      </c>
      <c r="E1536" s="11">
        <v>110348190</v>
      </c>
      <c r="F1536" s="10">
        <f>E1536/280839274</f>
        <v>0.39292292857871436</v>
      </c>
      <c r="G1536" s="11">
        <v>365371</v>
      </c>
      <c r="H1536" s="10">
        <f t="shared" ref="H1536:H1541" si="296">G1536/B1536</f>
        <v>0.66894732216745878</v>
      </c>
      <c r="I1536" s="11">
        <v>170491084</v>
      </c>
      <c r="J1536" s="10">
        <f>I1536/280839274</f>
        <v>0.60707707142128564</v>
      </c>
    </row>
    <row r="1537" spans="1:11">
      <c r="A1537" s="3" t="s">
        <v>11</v>
      </c>
      <c r="B1537" s="20">
        <v>50589</v>
      </c>
      <c r="C1537" s="7">
        <v>21195</v>
      </c>
      <c r="D1537" s="8">
        <f t="shared" si="295"/>
        <v>0.41896459704678884</v>
      </c>
      <c r="E1537" s="11">
        <v>19937353</v>
      </c>
      <c r="F1537" s="10">
        <f>E1537/44249583</f>
        <v>0.45056589572832811</v>
      </c>
      <c r="G1537" s="11">
        <v>29394</v>
      </c>
      <c r="H1537" s="10">
        <f t="shared" si="296"/>
        <v>0.58103540295321121</v>
      </c>
      <c r="I1537" s="11">
        <v>24312230</v>
      </c>
      <c r="J1537" s="10">
        <f>I1537/44249583</f>
        <v>0.54943410427167194</v>
      </c>
    </row>
    <row r="1538" spans="1:11">
      <c r="A1538" s="3" t="s">
        <v>12</v>
      </c>
      <c r="B1538" s="20">
        <v>11998</v>
      </c>
      <c r="C1538" s="7">
        <v>5774</v>
      </c>
      <c r="D1538" s="8">
        <f t="shared" si="295"/>
        <v>0.48124687447907982</v>
      </c>
      <c r="E1538" s="11">
        <v>107966649</v>
      </c>
      <c r="F1538" s="10">
        <f>E1538/172775016</f>
        <v>0.62489734626909255</v>
      </c>
      <c r="G1538" s="11">
        <v>6224</v>
      </c>
      <c r="H1538" s="10">
        <f t="shared" si="296"/>
        <v>0.51875312552092012</v>
      </c>
      <c r="I1538" s="11">
        <v>64808367</v>
      </c>
      <c r="J1538" s="10">
        <f>I1538/172775016</f>
        <v>0.37510265373090751</v>
      </c>
      <c r="K1538" s="3" t="s">
        <v>10</v>
      </c>
    </row>
    <row r="1539" spans="1:11">
      <c r="A1539" s="3" t="s">
        <v>13</v>
      </c>
      <c r="B1539" s="20">
        <v>398</v>
      </c>
      <c r="C1539" s="7">
        <v>362</v>
      </c>
      <c r="D1539" s="8">
        <f t="shared" si="295"/>
        <v>0.90954773869346739</v>
      </c>
      <c r="E1539" s="11">
        <v>236401546</v>
      </c>
      <c r="F1539" s="10">
        <f>E1539/243478529</f>
        <v>0.97093385183052427</v>
      </c>
      <c r="G1539" s="11">
        <v>36</v>
      </c>
      <c r="H1539" s="10">
        <f t="shared" si="296"/>
        <v>9.0452261306532666E-2</v>
      </c>
      <c r="I1539" s="11">
        <v>7076983</v>
      </c>
      <c r="J1539" s="10">
        <f>I1539/243478529</f>
        <v>2.9066148169475756E-2</v>
      </c>
      <c r="K1539" s="3" t="s">
        <v>11</v>
      </c>
    </row>
    <row r="1540" spans="1:11">
      <c r="A1540" s="3" t="s">
        <v>65</v>
      </c>
      <c r="B1540" s="20">
        <v>5621</v>
      </c>
      <c r="C1540" s="7">
        <v>1020</v>
      </c>
      <c r="D1540" s="8">
        <f t="shared" si="295"/>
        <v>0.18146237324319517</v>
      </c>
      <c r="E1540" s="11">
        <v>82677</v>
      </c>
      <c r="F1540" s="10">
        <f>E1540/781225</f>
        <v>0.10582994655828987</v>
      </c>
      <c r="G1540" s="11">
        <v>4601</v>
      </c>
      <c r="H1540" s="10">
        <f t="shared" si="296"/>
        <v>0.81853762675680486</v>
      </c>
      <c r="I1540" s="11">
        <v>698548</v>
      </c>
      <c r="J1540" s="10">
        <f>I1540/781225</f>
        <v>0.89417005344171019</v>
      </c>
      <c r="K1540" s="3" t="s">
        <v>12</v>
      </c>
    </row>
    <row r="1541" spans="1:11" ht="15.75">
      <c r="B1541" s="15">
        <f>SUM(B1536:B1540)</f>
        <v>614794</v>
      </c>
      <c r="C1541" s="16">
        <f>SUM(C1536:C1540)</f>
        <v>209168</v>
      </c>
      <c r="D1541" s="17">
        <f t="shared" si="295"/>
        <v>0.34022453049314078</v>
      </c>
      <c r="E1541" s="18">
        <f>SUM(E1536:E1540)</f>
        <v>474736415</v>
      </c>
      <c r="F1541" s="21">
        <f>E1541/742123627</f>
        <v>0.63969990676499511</v>
      </c>
      <c r="G1541" s="18">
        <f>SUM(G1536:G1540)</f>
        <v>405626</v>
      </c>
      <c r="H1541" s="21">
        <f t="shared" si="296"/>
        <v>0.65977546950685917</v>
      </c>
      <c r="I1541" s="18">
        <f>SUM(I1536:I1540)</f>
        <v>267387212</v>
      </c>
      <c r="J1541" s="21">
        <f>I1541/742123627</f>
        <v>0.36030009323500489</v>
      </c>
    </row>
    <row r="1542" spans="1:11" ht="15.75">
      <c r="A1542" s="1" t="s">
        <v>137</v>
      </c>
      <c r="B1542" s="15"/>
      <c r="C1542" s="16"/>
      <c r="D1542" s="17"/>
      <c r="E1542" s="18"/>
      <c r="F1542" s="21"/>
      <c r="G1542" s="18"/>
      <c r="H1542" s="21"/>
      <c r="I1542" s="18"/>
      <c r="J1542" s="21"/>
    </row>
    <row r="1543" spans="1:11" ht="15.75">
      <c r="A1543" s="1" t="s">
        <v>160</v>
      </c>
      <c r="B1543" s="28"/>
      <c r="C1543" s="32" t="s">
        <v>2</v>
      </c>
      <c r="D1543" s="29"/>
      <c r="E1543" s="29"/>
      <c r="F1543" s="30"/>
      <c r="G1543" s="31" t="s">
        <v>3</v>
      </c>
      <c r="H1543" s="30"/>
      <c r="I1543" s="30"/>
      <c r="J1543" s="30"/>
      <c r="K1543" s="22"/>
    </row>
    <row r="1544" spans="1:11" ht="15.75">
      <c r="B1544" s="4" t="s">
        <v>4</v>
      </c>
      <c r="C1544" s="6" t="s">
        <v>5</v>
      </c>
      <c r="D1544" s="4"/>
      <c r="E1544" s="4" t="s">
        <v>6</v>
      </c>
      <c r="F1544" s="5"/>
      <c r="G1544" s="4" t="s">
        <v>7</v>
      </c>
      <c r="H1544" s="5"/>
      <c r="I1544" s="5" t="s">
        <v>6</v>
      </c>
      <c r="J1544" s="5"/>
      <c r="K1544" s="1" t="s">
        <v>125</v>
      </c>
    </row>
    <row r="1545" spans="1:11">
      <c r="B1545" s="4" t="s">
        <v>8</v>
      </c>
      <c r="C1545" s="6" t="s">
        <v>8</v>
      </c>
      <c r="D1545" s="4" t="s">
        <v>9</v>
      </c>
      <c r="E1545" s="4" t="s">
        <v>8</v>
      </c>
      <c r="F1545" s="5" t="s">
        <v>9</v>
      </c>
      <c r="G1545" s="5" t="s">
        <v>8</v>
      </c>
      <c r="H1545" s="5" t="s">
        <v>9</v>
      </c>
      <c r="I1545" s="5" t="s">
        <v>8</v>
      </c>
      <c r="J1545" s="5" t="s">
        <v>9</v>
      </c>
    </row>
    <row r="1546" spans="1:11">
      <c r="B1546" s="4"/>
      <c r="C1546" s="6"/>
      <c r="D1546" s="4"/>
      <c r="E1546" s="4"/>
      <c r="F1546" s="4"/>
      <c r="G1546" s="4"/>
      <c r="H1546" s="4"/>
      <c r="I1546" s="4"/>
      <c r="J1546" s="4"/>
    </row>
    <row r="1547" spans="1:11">
      <c r="A1547" s="3" t="s">
        <v>10</v>
      </c>
      <c r="B1547" s="6">
        <v>546139</v>
      </c>
      <c r="C1547" s="7">
        <v>180475</v>
      </c>
      <c r="D1547" s="8">
        <f t="shared" ref="D1547:D1552" si="297">C1547/B1547</f>
        <v>0.33045616592112997</v>
      </c>
      <c r="E1547" s="11">
        <v>99967833</v>
      </c>
      <c r="F1547" s="10">
        <f>E1547/254212082</f>
        <v>0.39324579781381125</v>
      </c>
      <c r="G1547" s="11">
        <v>365664</v>
      </c>
      <c r="H1547" s="10">
        <f t="shared" ref="H1547:H1552" si="298">G1547/B1547</f>
        <v>0.66954383407887008</v>
      </c>
      <c r="I1547" s="11">
        <v>154244249</v>
      </c>
      <c r="J1547" s="10">
        <f>I1547/254212082</f>
        <v>0.60675420218618881</v>
      </c>
    </row>
    <row r="1548" spans="1:11">
      <c r="A1548" s="3" t="s">
        <v>11</v>
      </c>
      <c r="B1548" s="20">
        <v>50526</v>
      </c>
      <c r="C1548" s="7">
        <v>21048</v>
      </c>
      <c r="D1548" s="8">
        <f t="shared" si="297"/>
        <v>0.41657760361002255</v>
      </c>
      <c r="E1548" s="11">
        <v>17857144</v>
      </c>
      <c r="F1548" s="10">
        <f>E1548/39394953</f>
        <v>0.45328506928285967</v>
      </c>
      <c r="G1548" s="11">
        <v>29478</v>
      </c>
      <c r="H1548" s="10">
        <f t="shared" si="298"/>
        <v>0.58342239638997739</v>
      </c>
      <c r="I1548" s="11">
        <v>21537809</v>
      </c>
      <c r="J1548" s="10">
        <f>I1548/39394953</f>
        <v>0.54671493071714039</v>
      </c>
      <c r="K1548" s="3" t="s">
        <v>10</v>
      </c>
    </row>
    <row r="1549" spans="1:11">
      <c r="A1549" s="3" t="s">
        <v>12</v>
      </c>
      <c r="B1549" s="20">
        <v>11969</v>
      </c>
      <c r="C1549" s="7">
        <v>5718</v>
      </c>
      <c r="D1549" s="8">
        <f t="shared" si="297"/>
        <v>0.47773414654524188</v>
      </c>
      <c r="E1549" s="11">
        <v>96854314</v>
      </c>
      <c r="F1549" s="10">
        <f>E1549/152908805</f>
        <v>0.63341227472152439</v>
      </c>
      <c r="G1549" s="11">
        <v>6251</v>
      </c>
      <c r="H1549" s="10">
        <f t="shared" si="298"/>
        <v>0.52226585345475818</v>
      </c>
      <c r="I1549" s="11">
        <v>56054491</v>
      </c>
      <c r="J1549" s="10">
        <f>I1549/152908805</f>
        <v>0.36658772527847561</v>
      </c>
      <c r="K1549" s="3" t="s">
        <v>11</v>
      </c>
    </row>
    <row r="1550" spans="1:11">
      <c r="A1550" s="3" t="s">
        <v>13</v>
      </c>
      <c r="B1550" s="20">
        <v>400</v>
      </c>
      <c r="C1550" s="7">
        <v>363</v>
      </c>
      <c r="D1550" s="8">
        <f t="shared" si="297"/>
        <v>0.90749999999999997</v>
      </c>
      <c r="E1550" s="11">
        <v>239893001</v>
      </c>
      <c r="F1550" s="10">
        <f>E1550/245713031</f>
        <v>0.97631371044379001</v>
      </c>
      <c r="G1550" s="11">
        <v>37</v>
      </c>
      <c r="H1550" s="10">
        <f t="shared" si="298"/>
        <v>9.2499999999999999E-2</v>
      </c>
      <c r="I1550" s="11">
        <v>5820030</v>
      </c>
      <c r="J1550" s="10">
        <f>I1550/245713031</f>
        <v>2.3686289556209984E-2</v>
      </c>
      <c r="K1550" s="3" t="s">
        <v>12</v>
      </c>
    </row>
    <row r="1551" spans="1:11">
      <c r="A1551" s="3" t="s">
        <v>65</v>
      </c>
      <c r="B1551" s="20">
        <v>5631</v>
      </c>
      <c r="C1551" s="7">
        <v>1019</v>
      </c>
      <c r="D1551" s="8">
        <f t="shared" si="297"/>
        <v>0.1809625288581069</v>
      </c>
      <c r="E1551" s="11">
        <v>88215</v>
      </c>
      <c r="F1551" s="10">
        <f>E1551/780297</f>
        <v>0.11305310670167898</v>
      </c>
      <c r="G1551" s="11">
        <v>4712</v>
      </c>
      <c r="H1551" s="10">
        <f t="shared" si="298"/>
        <v>0.83679630616231571</v>
      </c>
      <c r="I1551" s="11">
        <v>692082</v>
      </c>
      <c r="J1551" s="10">
        <f>I1551/780297</f>
        <v>0.88694689329832099</v>
      </c>
    </row>
    <row r="1552" spans="1:11" ht="15.75">
      <c r="B1552" s="15">
        <f>SUM(B1547:B1551)</f>
        <v>614665</v>
      </c>
      <c r="C1552" s="16">
        <f>SUM(C1547:C1551)</f>
        <v>208623</v>
      </c>
      <c r="D1552" s="17">
        <f t="shared" si="297"/>
        <v>0.33940927171711421</v>
      </c>
      <c r="E1552" s="18">
        <f>SUM(E1547:E1551)</f>
        <v>454660507</v>
      </c>
      <c r="F1552" s="21">
        <f>E1552/693009168</f>
        <v>0.65606708827840499</v>
      </c>
      <c r="G1552" s="18">
        <f>SUM(G1547:G1551)</f>
        <v>406142</v>
      </c>
      <c r="H1552" s="21">
        <f t="shared" si="298"/>
        <v>0.6607534185287921</v>
      </c>
      <c r="I1552" s="18">
        <f>SUM(I1547:I1551)</f>
        <v>238348661</v>
      </c>
      <c r="J1552" s="21">
        <f>I1552/693009168</f>
        <v>0.34393291172159501</v>
      </c>
    </row>
    <row r="1553" spans="1:11" ht="15.75">
      <c r="A1553" s="1" t="s">
        <v>137</v>
      </c>
      <c r="B1553" s="15"/>
      <c r="C1553" s="16"/>
      <c r="D1553" s="17"/>
      <c r="E1553" s="18"/>
      <c r="F1553" s="21"/>
      <c r="G1553" s="18"/>
      <c r="H1553" s="21"/>
      <c r="I1553" s="18"/>
      <c r="J1553" s="21"/>
      <c r="K1553" s="22"/>
    </row>
    <row r="1554" spans="1:11" ht="15.75">
      <c r="A1554" s="1" t="s">
        <v>161</v>
      </c>
      <c r="B1554" s="28"/>
      <c r="C1554" s="28" t="s">
        <v>2</v>
      </c>
      <c r="D1554" s="29"/>
      <c r="E1554" s="29"/>
      <c r="F1554" s="30"/>
      <c r="G1554" s="31" t="s">
        <v>3</v>
      </c>
      <c r="H1554" s="30"/>
      <c r="I1554" s="30"/>
      <c r="J1554" s="30"/>
      <c r="K1554" s="1" t="s">
        <v>125</v>
      </c>
    </row>
    <row r="1555" spans="1:11">
      <c r="B1555" s="4" t="s">
        <v>4</v>
      </c>
      <c r="C1555" s="4" t="s">
        <v>5</v>
      </c>
      <c r="D1555" s="4"/>
      <c r="E1555" s="4" t="s">
        <v>6</v>
      </c>
      <c r="F1555" s="5"/>
      <c r="G1555" s="4" t="s">
        <v>7</v>
      </c>
      <c r="H1555" s="5"/>
      <c r="I1555" s="5" t="s">
        <v>6</v>
      </c>
      <c r="J1555" s="5"/>
    </row>
    <row r="1556" spans="1:11">
      <c r="B1556" s="4" t="s">
        <v>8</v>
      </c>
      <c r="C1556" s="4" t="s">
        <v>8</v>
      </c>
      <c r="D1556" s="4" t="s">
        <v>9</v>
      </c>
      <c r="E1556" s="4" t="s">
        <v>8</v>
      </c>
      <c r="F1556" s="5" t="s">
        <v>9</v>
      </c>
      <c r="G1556" s="5" t="s">
        <v>8</v>
      </c>
      <c r="H1556" s="5" t="s">
        <v>9</v>
      </c>
      <c r="I1556" s="5" t="s">
        <v>8</v>
      </c>
      <c r="J1556" s="5" t="s">
        <v>9</v>
      </c>
    </row>
    <row r="1557" spans="1:11">
      <c r="B1557" s="4"/>
      <c r="C1557" s="4"/>
      <c r="D1557" s="4"/>
      <c r="E1557" s="4"/>
      <c r="F1557" s="4"/>
      <c r="G1557" s="4"/>
      <c r="H1557" s="4"/>
      <c r="I1557" s="4"/>
      <c r="J1557" s="4"/>
    </row>
    <row r="1558" spans="1:11">
      <c r="A1558" s="3" t="s">
        <v>10</v>
      </c>
      <c r="B1558" s="6">
        <v>546774</v>
      </c>
      <c r="C1558" s="7">
        <v>177982</v>
      </c>
      <c r="D1558" s="8">
        <f t="shared" ref="D1558:D1563" si="299">C1558/B1558</f>
        <v>0.32551291758569356</v>
      </c>
      <c r="E1558" s="11">
        <v>112211558</v>
      </c>
      <c r="F1558" s="10">
        <f>E1558/290565130</f>
        <v>0.3861838411236751</v>
      </c>
      <c r="G1558" s="11">
        <v>368792</v>
      </c>
      <c r="H1558" s="10">
        <f t="shared" ref="H1558:H1563" si="300">G1558/B1558</f>
        <v>0.67448708241430644</v>
      </c>
      <c r="I1558" s="11">
        <v>178353572</v>
      </c>
      <c r="J1558" s="10">
        <f>I1558/290565130</f>
        <v>0.6138161588763249</v>
      </c>
      <c r="K1558" s="3" t="s">
        <v>10</v>
      </c>
    </row>
    <row r="1559" spans="1:11">
      <c r="A1559" s="3" t="s">
        <v>11</v>
      </c>
      <c r="B1559" s="20">
        <v>50456</v>
      </c>
      <c r="C1559" s="7">
        <v>21017</v>
      </c>
      <c r="D1559" s="8">
        <f t="shared" si="299"/>
        <v>0.4165411447597907</v>
      </c>
      <c r="E1559" s="11">
        <v>18971248</v>
      </c>
      <c r="F1559" s="10">
        <f>E1559/42000649</f>
        <v>0.4516894012756803</v>
      </c>
      <c r="G1559" s="11">
        <v>29439</v>
      </c>
      <c r="H1559" s="10">
        <f t="shared" si="300"/>
        <v>0.58345885524020924</v>
      </c>
      <c r="I1559" s="11">
        <v>23029401</v>
      </c>
      <c r="J1559" s="10">
        <f>I1559/42000649</f>
        <v>0.54831059872431975</v>
      </c>
      <c r="K1559" s="3" t="s">
        <v>11</v>
      </c>
    </row>
    <row r="1560" spans="1:11">
      <c r="A1560" s="3" t="s">
        <v>12</v>
      </c>
      <c r="B1560" s="20">
        <v>12004</v>
      </c>
      <c r="C1560" s="7">
        <v>5802</v>
      </c>
      <c r="D1560" s="8">
        <f t="shared" si="299"/>
        <v>0.4833388870376541</v>
      </c>
      <c r="E1560" s="11">
        <v>97961482</v>
      </c>
      <c r="F1560" s="10">
        <f>E1560/153633287</f>
        <v>0.63763188247088665</v>
      </c>
      <c r="G1560" s="11">
        <v>6202</v>
      </c>
      <c r="H1560" s="10">
        <f t="shared" si="300"/>
        <v>0.51666111296234585</v>
      </c>
      <c r="I1560" s="11">
        <v>55671805</v>
      </c>
      <c r="J1560" s="10">
        <f>I1560/153633287</f>
        <v>0.36236811752911335</v>
      </c>
      <c r="K1560" s="3" t="s">
        <v>12</v>
      </c>
    </row>
    <row r="1561" spans="1:11">
      <c r="A1561" s="3" t="s">
        <v>13</v>
      </c>
      <c r="B1561" s="20">
        <v>403</v>
      </c>
      <c r="C1561" s="7">
        <v>364</v>
      </c>
      <c r="D1561" s="8">
        <f t="shared" si="299"/>
        <v>0.90322580645161288</v>
      </c>
      <c r="E1561" s="11">
        <v>259311554</v>
      </c>
      <c r="F1561" s="10">
        <f>E1561/264094606</f>
        <v>0.98188886902142936</v>
      </c>
      <c r="G1561" s="11">
        <v>39</v>
      </c>
      <c r="H1561" s="10">
        <f t="shared" si="300"/>
        <v>9.6774193548387094E-2</v>
      </c>
      <c r="I1561" s="11">
        <v>4783052</v>
      </c>
      <c r="J1561" s="10">
        <f>I1561/264094606</f>
        <v>1.811113097857061E-2</v>
      </c>
    </row>
    <row r="1562" spans="1:11">
      <c r="A1562" s="3" t="s">
        <v>65</v>
      </c>
      <c r="B1562" s="20">
        <v>5631</v>
      </c>
      <c r="C1562" s="4">
        <v>997</v>
      </c>
      <c r="D1562" s="8">
        <f t="shared" si="299"/>
        <v>0.17705558515361391</v>
      </c>
      <c r="E1562" s="11">
        <v>97965</v>
      </c>
      <c r="F1562" s="10">
        <f>E1562/782255</f>
        <v>0.12523409885523262</v>
      </c>
      <c r="G1562" s="11">
        <v>4634</v>
      </c>
      <c r="H1562" s="10">
        <f t="shared" si="300"/>
        <v>0.82294441484638603</v>
      </c>
      <c r="I1562" s="11">
        <v>684290</v>
      </c>
      <c r="J1562" s="10">
        <f>I1562/782255</f>
        <v>0.87476590114476738</v>
      </c>
    </row>
    <row r="1563" spans="1:11" ht="15.75">
      <c r="B1563" s="15">
        <f>SUM(B1558:B1562)</f>
        <v>615268</v>
      </c>
      <c r="C1563" s="33">
        <f>SUM(C1558:C1562)</f>
        <v>206162</v>
      </c>
      <c r="D1563" s="17">
        <f t="shared" si="299"/>
        <v>0.33507674704356477</v>
      </c>
      <c r="E1563" s="18">
        <f>SUM(E1558:E1562)</f>
        <v>488553807</v>
      </c>
      <c r="F1563" s="21">
        <f>E1563/751075927</f>
        <v>0.65047192891857919</v>
      </c>
      <c r="G1563" s="18">
        <f>SUM(G1558:G1562)</f>
        <v>409106</v>
      </c>
      <c r="H1563" s="21">
        <f t="shared" si="300"/>
        <v>0.66492325295643528</v>
      </c>
      <c r="I1563" s="18">
        <f>SUM(I1558:I1562)</f>
        <v>262522120</v>
      </c>
      <c r="J1563" s="21">
        <f>I1563/751075927</f>
        <v>0.34952807108142075</v>
      </c>
      <c r="K1563" s="22"/>
    </row>
    <row r="1564" spans="1:11" ht="15.75">
      <c r="A1564" s="1" t="s">
        <v>137</v>
      </c>
      <c r="B1564" s="15"/>
      <c r="C1564" s="33"/>
      <c r="D1564" s="17"/>
      <c r="E1564" s="18"/>
      <c r="F1564" s="21"/>
      <c r="G1564" s="18"/>
      <c r="H1564" s="21"/>
      <c r="I1564" s="18"/>
      <c r="J1564" s="21"/>
      <c r="K1564" s="1" t="s">
        <v>125</v>
      </c>
    </row>
    <row r="1565" spans="1:11" ht="15.75">
      <c r="A1565" s="1" t="s">
        <v>162</v>
      </c>
      <c r="B1565" s="28"/>
      <c r="C1565" s="28" t="s">
        <v>2</v>
      </c>
      <c r="D1565" s="29"/>
      <c r="E1565" s="29"/>
      <c r="F1565" s="30"/>
      <c r="G1565" s="31" t="s">
        <v>3</v>
      </c>
      <c r="H1565" s="30"/>
      <c r="I1565" s="30"/>
      <c r="J1565" s="30"/>
    </row>
    <row r="1566" spans="1:11">
      <c r="B1566" s="4" t="s">
        <v>4</v>
      </c>
      <c r="C1566" s="4" t="s">
        <v>5</v>
      </c>
      <c r="D1566" s="4"/>
      <c r="E1566" s="4" t="s">
        <v>6</v>
      </c>
      <c r="F1566" s="5"/>
      <c r="G1566" s="4" t="s">
        <v>7</v>
      </c>
      <c r="H1566" s="5"/>
      <c r="I1566" s="5" t="s">
        <v>6</v>
      </c>
      <c r="J1566" s="5"/>
    </row>
    <row r="1567" spans="1:11">
      <c r="B1567" s="4" t="s">
        <v>8</v>
      </c>
      <c r="C1567" s="4" t="s">
        <v>8</v>
      </c>
      <c r="D1567" s="4" t="s">
        <v>9</v>
      </c>
      <c r="E1567" s="4" t="s">
        <v>8</v>
      </c>
      <c r="F1567" s="5" t="s">
        <v>9</v>
      </c>
      <c r="G1567" s="5" t="s">
        <v>8</v>
      </c>
      <c r="H1567" s="5" t="s">
        <v>9</v>
      </c>
      <c r="I1567" s="5" t="s">
        <v>8</v>
      </c>
      <c r="J1567" s="5" t="s">
        <v>9</v>
      </c>
    </row>
    <row r="1568" spans="1:11">
      <c r="B1568" s="4"/>
      <c r="C1568" s="4"/>
      <c r="D1568" s="4"/>
      <c r="E1568" s="4"/>
      <c r="F1568" s="4"/>
      <c r="G1568" s="4"/>
      <c r="H1568" s="4"/>
      <c r="I1568" s="4"/>
      <c r="J1568" s="4"/>
      <c r="K1568" s="3" t="s">
        <v>10</v>
      </c>
    </row>
    <row r="1569" spans="1:11">
      <c r="A1569" s="3" t="s">
        <v>10</v>
      </c>
      <c r="B1569" s="6">
        <v>547130</v>
      </c>
      <c r="C1569" s="7">
        <v>164552</v>
      </c>
      <c r="D1569" s="8">
        <f t="shared" ref="D1569:D1574" si="301">C1569/B1569</f>
        <v>0.3007548480251494</v>
      </c>
      <c r="E1569" s="11">
        <v>107473546</v>
      </c>
      <c r="F1569" s="10">
        <f>E1569/303491972</f>
        <v>0.35412319242500423</v>
      </c>
      <c r="G1569" s="11">
        <v>382578</v>
      </c>
      <c r="H1569" s="10">
        <f t="shared" ref="H1569:H1574" si="302">G1569/B1569</f>
        <v>0.6992451519748506</v>
      </c>
      <c r="I1569" s="11">
        <v>196018426</v>
      </c>
      <c r="J1569" s="10">
        <f>I1569/303491972</f>
        <v>0.64587680757499577</v>
      </c>
      <c r="K1569" s="3" t="s">
        <v>11</v>
      </c>
    </row>
    <row r="1570" spans="1:11">
      <c r="A1570" s="3" t="s">
        <v>11</v>
      </c>
      <c r="B1570" s="20">
        <v>50375</v>
      </c>
      <c r="C1570" s="7">
        <v>20749</v>
      </c>
      <c r="D1570" s="8">
        <f t="shared" si="301"/>
        <v>0.41189081885856077</v>
      </c>
      <c r="E1570" s="11">
        <v>18575073</v>
      </c>
      <c r="F1570" s="10">
        <f>E1570/42478311</f>
        <v>0.43728369990981986</v>
      </c>
      <c r="G1570" s="11">
        <v>29625</v>
      </c>
      <c r="H1570" s="10">
        <f t="shared" si="302"/>
        <v>0.58808933002481389</v>
      </c>
      <c r="I1570" s="11">
        <v>23903238</v>
      </c>
      <c r="J1570" s="10">
        <f>I1570/42478311</f>
        <v>0.56271630009018014</v>
      </c>
      <c r="K1570" s="3" t="s">
        <v>12</v>
      </c>
    </row>
    <row r="1571" spans="1:11">
      <c r="A1571" s="3" t="s">
        <v>12</v>
      </c>
      <c r="B1571" s="20">
        <v>11969</v>
      </c>
      <c r="C1571" s="7">
        <v>5800</v>
      </c>
      <c r="D1571" s="8">
        <f t="shared" si="301"/>
        <v>0.48458517837747517</v>
      </c>
      <c r="E1571" s="11">
        <v>97240428</v>
      </c>
      <c r="F1571" s="10">
        <f>E1571/151962567</f>
        <v>0.63989724522092339</v>
      </c>
      <c r="G1571" s="11">
        <v>6169</v>
      </c>
      <c r="H1571" s="10">
        <f t="shared" si="302"/>
        <v>0.51541482162252483</v>
      </c>
      <c r="I1571" s="11">
        <v>54722139</v>
      </c>
      <c r="J1571" s="10">
        <f>I1571/151962567</f>
        <v>0.36010275477907661</v>
      </c>
    </row>
    <row r="1572" spans="1:11">
      <c r="A1572" s="3" t="s">
        <v>13</v>
      </c>
      <c r="B1572" s="20">
        <v>402</v>
      </c>
      <c r="C1572" s="7">
        <v>364</v>
      </c>
      <c r="D1572" s="8">
        <f t="shared" si="301"/>
        <v>0.90547263681592038</v>
      </c>
      <c r="E1572" s="11">
        <v>217746763</v>
      </c>
      <c r="F1572" s="10">
        <f>E1572/223434999</f>
        <v>0.97454187559935501</v>
      </c>
      <c r="G1572" s="11">
        <v>38</v>
      </c>
      <c r="H1572" s="10">
        <f t="shared" si="302"/>
        <v>9.4527363184079602E-2</v>
      </c>
      <c r="I1572" s="11">
        <v>5688236</v>
      </c>
      <c r="J1572" s="10">
        <f>I1572/223434999</f>
        <v>2.545812440064504E-2</v>
      </c>
    </row>
    <row r="1573" spans="1:11">
      <c r="A1573" s="3" t="s">
        <v>65</v>
      </c>
      <c r="B1573" s="20">
        <v>5619</v>
      </c>
      <c r="C1573" s="4">
        <v>929</v>
      </c>
      <c r="D1573" s="8">
        <f t="shared" si="301"/>
        <v>0.16533190959245417</v>
      </c>
      <c r="E1573" s="11">
        <v>102261</v>
      </c>
      <c r="F1573" s="10">
        <f>E1573/779771</f>
        <v>0.13114234820222861</v>
      </c>
      <c r="G1573" s="11">
        <v>4690</v>
      </c>
      <c r="H1573" s="10">
        <f t="shared" si="302"/>
        <v>0.83466809040754586</v>
      </c>
      <c r="I1573" s="11">
        <v>677510</v>
      </c>
      <c r="J1573" s="10">
        <f>I1573/779771</f>
        <v>0.86885765179777141</v>
      </c>
      <c r="K1573" s="22"/>
    </row>
    <row r="1574" spans="1:11" ht="15.75">
      <c r="B1574" s="15">
        <f>SUM(B1569:B1573)</f>
        <v>615495</v>
      </c>
      <c r="C1574" s="33">
        <f>SUM(C1569:C1573)</f>
        <v>192394</v>
      </c>
      <c r="D1574" s="17">
        <f t="shared" si="301"/>
        <v>0.31258418021267437</v>
      </c>
      <c r="E1574" s="18">
        <f>SUM(E1569:E1573)</f>
        <v>441138071</v>
      </c>
      <c r="F1574" s="21">
        <f>E1574/722147620</f>
        <v>0.61086965986261921</v>
      </c>
      <c r="G1574" s="18">
        <f>SUM(G1569:G1573)</f>
        <v>423100</v>
      </c>
      <c r="H1574" s="21">
        <f t="shared" si="302"/>
        <v>0.68741419507875778</v>
      </c>
      <c r="I1574" s="18">
        <f>SUM(I1569:I1573)</f>
        <v>281009549</v>
      </c>
      <c r="J1574" s="21">
        <f>I1574/722147620</f>
        <v>0.38913034013738079</v>
      </c>
      <c r="K1574" s="1" t="s">
        <v>125</v>
      </c>
    </row>
    <row r="1575" spans="1:11" ht="15.75">
      <c r="A1575" s="1" t="s">
        <v>137</v>
      </c>
      <c r="B1575" s="15"/>
      <c r="C1575" s="33"/>
      <c r="D1575" s="17"/>
      <c r="E1575" s="18"/>
      <c r="F1575" s="21"/>
      <c r="G1575" s="18"/>
      <c r="H1575" s="21"/>
      <c r="I1575" s="18"/>
      <c r="J1575" s="21"/>
    </row>
    <row r="1576" spans="1:11" ht="15.75">
      <c r="A1576" s="1" t="s">
        <v>163</v>
      </c>
      <c r="B1576" s="28"/>
      <c r="C1576" s="28" t="s">
        <v>2</v>
      </c>
      <c r="D1576" s="29"/>
      <c r="E1576" s="29"/>
      <c r="F1576" s="30"/>
      <c r="G1576" s="31" t="s">
        <v>3</v>
      </c>
      <c r="H1576" s="30"/>
      <c r="I1576" s="30"/>
      <c r="J1576" s="30"/>
    </row>
    <row r="1577" spans="1:11">
      <c r="B1577" s="4" t="s">
        <v>4</v>
      </c>
      <c r="C1577" s="4" t="s">
        <v>5</v>
      </c>
      <c r="D1577" s="4"/>
      <c r="E1577" s="4" t="s">
        <v>6</v>
      </c>
      <c r="F1577" s="5"/>
      <c r="G1577" s="4" t="s">
        <v>7</v>
      </c>
      <c r="H1577" s="5"/>
      <c r="I1577" s="5" t="s">
        <v>6</v>
      </c>
      <c r="J1577" s="5"/>
    </row>
    <row r="1578" spans="1:11">
      <c r="B1578" s="4" t="s">
        <v>8</v>
      </c>
      <c r="C1578" s="4" t="s">
        <v>8</v>
      </c>
      <c r="D1578" s="4" t="s">
        <v>9</v>
      </c>
      <c r="E1578" s="4" t="s">
        <v>8</v>
      </c>
      <c r="F1578" s="5" t="s">
        <v>9</v>
      </c>
      <c r="G1578" s="5" t="s">
        <v>8</v>
      </c>
      <c r="H1578" s="5" t="s">
        <v>9</v>
      </c>
      <c r="I1578" s="5" t="s">
        <v>8</v>
      </c>
      <c r="J1578" s="5" t="s">
        <v>9</v>
      </c>
      <c r="K1578" s="3" t="s">
        <v>10</v>
      </c>
    </row>
    <row r="1579" spans="1:11">
      <c r="B1579" s="4"/>
      <c r="C1579" s="4"/>
      <c r="D1579" s="4"/>
      <c r="E1579" s="4"/>
      <c r="F1579" s="4"/>
      <c r="G1579" s="4"/>
      <c r="H1579" s="4"/>
      <c r="I1579" s="4"/>
      <c r="J1579" s="4"/>
      <c r="K1579" s="3" t="s">
        <v>11</v>
      </c>
    </row>
    <row r="1580" spans="1:11">
      <c r="A1580" s="3" t="s">
        <v>10</v>
      </c>
      <c r="B1580" s="6">
        <v>546958</v>
      </c>
      <c r="C1580" s="7">
        <v>160073</v>
      </c>
      <c r="D1580" s="8">
        <f t="shared" ref="D1580:D1585" si="303">C1580/B1580</f>
        <v>0.29266049678403094</v>
      </c>
      <c r="E1580" s="11">
        <v>119359879</v>
      </c>
      <c r="F1580" s="10">
        <f>E1580/348172098</f>
        <v>0.34281862241586059</v>
      </c>
      <c r="G1580" s="11">
        <v>386885</v>
      </c>
      <c r="H1580" s="10">
        <f t="shared" ref="H1580:H1585" si="304">G1580/B1580</f>
        <v>0.70733950321596906</v>
      </c>
      <c r="I1580" s="11">
        <v>228812219</v>
      </c>
      <c r="J1580" s="10">
        <f>I1580/348172098</f>
        <v>0.65718137758413941</v>
      </c>
      <c r="K1580" s="3" t="s">
        <v>12</v>
      </c>
    </row>
    <row r="1581" spans="1:11">
      <c r="A1581" s="3" t="s">
        <v>11</v>
      </c>
      <c r="B1581" s="20">
        <v>50424</v>
      </c>
      <c r="C1581" s="7">
        <v>20398</v>
      </c>
      <c r="D1581" s="8">
        <f t="shared" si="303"/>
        <v>0.40452958908456288</v>
      </c>
      <c r="E1581" s="11">
        <v>20264407</v>
      </c>
      <c r="F1581" s="10">
        <f>E1581/47597191</f>
        <v>0.42574796063070192</v>
      </c>
      <c r="G1581" s="11">
        <v>30026</v>
      </c>
      <c r="H1581" s="10">
        <f t="shared" si="304"/>
        <v>0.59547041091543707</v>
      </c>
      <c r="I1581" s="11">
        <v>27332784</v>
      </c>
      <c r="J1581" s="10">
        <f>I1581/47597191</f>
        <v>0.57425203936929803</v>
      </c>
    </row>
    <row r="1582" spans="1:11">
      <c r="A1582" s="3" t="s">
        <v>12</v>
      </c>
      <c r="B1582" s="20">
        <v>12002</v>
      </c>
      <c r="C1582" s="7">
        <v>5836</v>
      </c>
      <c r="D1582" s="8">
        <f t="shared" si="303"/>
        <v>0.48625229128478586</v>
      </c>
      <c r="E1582" s="11">
        <v>105935975</v>
      </c>
      <c r="F1582" s="10">
        <f>E1582/165381011</f>
        <v>0.64055706492204234</v>
      </c>
      <c r="G1582" s="11">
        <v>6166</v>
      </c>
      <c r="H1582" s="10">
        <f t="shared" si="304"/>
        <v>0.51374770871521414</v>
      </c>
      <c r="I1582" s="11">
        <v>59445036</v>
      </c>
      <c r="J1582" s="10">
        <f>I1582/165381011</f>
        <v>0.35944293507795766</v>
      </c>
    </row>
    <row r="1583" spans="1:11">
      <c r="A1583" s="3" t="s">
        <v>13</v>
      </c>
      <c r="B1583" s="20">
        <v>404</v>
      </c>
      <c r="C1583" s="7">
        <v>363</v>
      </c>
      <c r="D1583" s="8">
        <f t="shared" si="303"/>
        <v>0.89851485148514854</v>
      </c>
      <c r="E1583" s="11">
        <v>216773552</v>
      </c>
      <c r="F1583" s="10">
        <f>E1583/222020571</f>
        <v>0.97636696916701471</v>
      </c>
      <c r="G1583" s="11">
        <v>41</v>
      </c>
      <c r="H1583" s="10">
        <f t="shared" si="304"/>
        <v>0.10148514851485149</v>
      </c>
      <c r="I1583" s="11">
        <v>5247019</v>
      </c>
      <c r="J1583" s="10">
        <f>I1583/222020571</f>
        <v>2.3633030832985291E-2</v>
      </c>
      <c r="K1583" s="22"/>
    </row>
    <row r="1584" spans="1:11" ht="15.75">
      <c r="A1584" s="3" t="s">
        <v>65</v>
      </c>
      <c r="B1584" s="20">
        <v>5624</v>
      </c>
      <c r="C1584" s="4">
        <v>900</v>
      </c>
      <c r="D1584" s="8">
        <f t="shared" si="303"/>
        <v>0.16002844950213371</v>
      </c>
      <c r="E1584" s="11">
        <v>116944</v>
      </c>
      <c r="F1584" s="10">
        <f>E1584/780697</f>
        <v>0.14979435043301051</v>
      </c>
      <c r="G1584" s="11">
        <v>4724</v>
      </c>
      <c r="H1584" s="10">
        <f t="shared" si="304"/>
        <v>0.83997155049786631</v>
      </c>
      <c r="I1584" s="11">
        <v>663753</v>
      </c>
      <c r="J1584" s="10">
        <f>I1584/780697</f>
        <v>0.85020564956698952</v>
      </c>
      <c r="K1584" s="1" t="s">
        <v>125</v>
      </c>
    </row>
    <row r="1585" spans="1:11" ht="15.75">
      <c r="B1585" s="15">
        <f>SUM(B1580:B1584)</f>
        <v>615412</v>
      </c>
      <c r="C1585" s="33">
        <f>SUM(C1580:C1584)</f>
        <v>187570</v>
      </c>
      <c r="D1585" s="17">
        <f t="shared" si="303"/>
        <v>0.30478768694793079</v>
      </c>
      <c r="E1585" s="18">
        <f>SUM(E1580:E1584)</f>
        <v>462450757</v>
      </c>
      <c r="F1585" s="21">
        <f>E1585/783951568</f>
        <v>0.58989710063313505</v>
      </c>
      <c r="G1585" s="18">
        <f>SUM(G1580:G1584)</f>
        <v>427842</v>
      </c>
      <c r="H1585" s="21">
        <f t="shared" si="304"/>
        <v>0.69521231305206921</v>
      </c>
      <c r="I1585" s="18">
        <f>SUM(I1580:I1584)</f>
        <v>321500811</v>
      </c>
      <c r="J1585" s="21">
        <f>I1585/783951568</f>
        <v>0.41010289936686495</v>
      </c>
    </row>
    <row r="1586" spans="1:11" ht="15.75">
      <c r="A1586" s="1" t="s">
        <v>137</v>
      </c>
      <c r="B1586" s="15"/>
      <c r="C1586" s="33"/>
      <c r="D1586" s="17"/>
      <c r="E1586" s="18"/>
      <c r="F1586" s="21"/>
      <c r="G1586" s="18"/>
      <c r="H1586" s="21"/>
      <c r="I1586" s="18"/>
      <c r="J1586" s="21"/>
    </row>
    <row r="1587" spans="1:11" ht="15.75">
      <c r="A1587" s="1" t="s">
        <v>164</v>
      </c>
      <c r="B1587" s="28"/>
      <c r="C1587" s="28" t="s">
        <v>2</v>
      </c>
      <c r="D1587" s="29"/>
      <c r="E1587" s="29"/>
      <c r="F1587" s="30"/>
      <c r="G1587" s="31" t="s">
        <v>3</v>
      </c>
      <c r="H1587" s="30"/>
      <c r="I1587" s="30"/>
      <c r="J1587" s="30"/>
    </row>
    <row r="1588" spans="1:11">
      <c r="B1588" s="4" t="s">
        <v>4</v>
      </c>
      <c r="C1588" s="4" t="s">
        <v>5</v>
      </c>
      <c r="D1588" s="4"/>
      <c r="E1588" s="4" t="s">
        <v>6</v>
      </c>
      <c r="F1588" s="5"/>
      <c r="G1588" s="4" t="s">
        <v>7</v>
      </c>
      <c r="H1588" s="5"/>
      <c r="I1588" s="5" t="s">
        <v>6</v>
      </c>
      <c r="J1588" s="5"/>
      <c r="K1588" s="3" t="s">
        <v>10</v>
      </c>
    </row>
    <row r="1589" spans="1:11">
      <c r="B1589" s="4" t="s">
        <v>8</v>
      </c>
      <c r="C1589" s="4" t="s">
        <v>8</v>
      </c>
      <c r="D1589" s="4" t="s">
        <v>9</v>
      </c>
      <c r="E1589" s="4" t="s">
        <v>8</v>
      </c>
      <c r="F1589" s="5" t="s">
        <v>9</v>
      </c>
      <c r="G1589" s="5" t="s">
        <v>8</v>
      </c>
      <c r="H1589" s="5" t="s">
        <v>9</v>
      </c>
      <c r="I1589" s="5" t="s">
        <v>8</v>
      </c>
      <c r="J1589" s="5" t="s">
        <v>9</v>
      </c>
      <c r="K1589" s="3" t="s">
        <v>11</v>
      </c>
    </row>
    <row r="1590" spans="1:11">
      <c r="B1590" s="4"/>
      <c r="C1590" s="4"/>
      <c r="D1590" s="4"/>
      <c r="E1590" s="4"/>
      <c r="F1590" s="4"/>
      <c r="G1590" s="4"/>
      <c r="H1590" s="4"/>
      <c r="I1590" s="4"/>
      <c r="J1590" s="4"/>
      <c r="K1590" s="3" t="s">
        <v>12</v>
      </c>
    </row>
    <row r="1591" spans="1:11">
      <c r="A1591" s="3" t="s">
        <v>10</v>
      </c>
      <c r="B1591" s="6">
        <v>546827</v>
      </c>
      <c r="C1591" s="7">
        <v>160507</v>
      </c>
      <c r="D1591" s="8">
        <f t="shared" ref="D1591:D1596" si="305">C1591/B1591</f>
        <v>0.29352427733085601</v>
      </c>
      <c r="E1591" s="11">
        <v>123507060</v>
      </c>
      <c r="F1591" s="10">
        <f>E1591/354015941</f>
        <v>0.34887428981623175</v>
      </c>
      <c r="G1591" s="11">
        <v>386320</v>
      </c>
      <c r="H1591" s="10">
        <f t="shared" ref="H1591:H1596" si="306">G1591/B1591</f>
        <v>0.70647572266914394</v>
      </c>
      <c r="I1591" s="11">
        <v>230508881</v>
      </c>
      <c r="J1591" s="10">
        <f>I1591/354015941</f>
        <v>0.6511257101837683</v>
      </c>
    </row>
    <row r="1592" spans="1:11">
      <c r="A1592" s="3" t="s">
        <v>11</v>
      </c>
      <c r="B1592" s="20">
        <v>50545</v>
      </c>
      <c r="C1592" s="7">
        <v>20357</v>
      </c>
      <c r="D1592" s="8">
        <f t="shared" si="305"/>
        <v>0.40275002473043825</v>
      </c>
      <c r="E1592" s="11">
        <v>19701410</v>
      </c>
      <c r="F1592" s="10">
        <f>E1592/45760745</f>
        <v>0.43053079664677663</v>
      </c>
      <c r="G1592" s="11">
        <v>30188</v>
      </c>
      <c r="H1592" s="10">
        <f t="shared" si="306"/>
        <v>0.59724997526956181</v>
      </c>
      <c r="I1592" s="11">
        <v>26059305</v>
      </c>
      <c r="J1592" s="10">
        <f>I1592/45760745</f>
        <v>0.56946854776949107</v>
      </c>
    </row>
    <row r="1593" spans="1:11">
      <c r="A1593" s="3" t="s">
        <v>12</v>
      </c>
      <c r="B1593" s="20">
        <v>12083</v>
      </c>
      <c r="C1593" s="7">
        <v>5868</v>
      </c>
      <c r="D1593" s="8">
        <f t="shared" si="305"/>
        <v>0.48564098319953652</v>
      </c>
      <c r="E1593" s="11">
        <v>103609409</v>
      </c>
      <c r="F1593" s="10">
        <f>E1593/162626783</f>
        <v>0.63709929624568662</v>
      </c>
      <c r="G1593" s="11">
        <v>6215</v>
      </c>
      <c r="H1593" s="10">
        <f t="shared" si="306"/>
        <v>0.51435901680046348</v>
      </c>
      <c r="I1593" s="11">
        <v>59017374</v>
      </c>
      <c r="J1593" s="10">
        <f>I1593/162626783</f>
        <v>0.36290070375431333</v>
      </c>
      <c r="K1593" s="22"/>
    </row>
    <row r="1594" spans="1:11" ht="15.75">
      <c r="A1594" s="3" t="s">
        <v>13</v>
      </c>
      <c r="B1594" s="20">
        <v>398</v>
      </c>
      <c r="C1594" s="7">
        <v>358</v>
      </c>
      <c r="D1594" s="8">
        <f t="shared" si="305"/>
        <v>0.89949748743718594</v>
      </c>
      <c r="E1594" s="11">
        <v>223250283</v>
      </c>
      <c r="F1594" s="10">
        <f>E1594/229241221</f>
        <v>0.97386622713896642</v>
      </c>
      <c r="G1594" s="11">
        <v>40</v>
      </c>
      <c r="H1594" s="10">
        <f t="shared" si="306"/>
        <v>0.10050251256281408</v>
      </c>
      <c r="I1594" s="11">
        <v>5990938</v>
      </c>
      <c r="J1594" s="10">
        <f>I1594/229241221</f>
        <v>2.6133772861033574E-2</v>
      </c>
      <c r="K1594" s="1" t="s">
        <v>125</v>
      </c>
    </row>
    <row r="1595" spans="1:11">
      <c r="A1595" s="3" t="s">
        <v>65</v>
      </c>
      <c r="B1595" s="20">
        <v>5619</v>
      </c>
      <c r="C1595" s="4">
        <v>886</v>
      </c>
      <c r="D1595" s="8">
        <f t="shared" si="305"/>
        <v>0.1576793023669692</v>
      </c>
      <c r="E1595" s="11">
        <v>123616</v>
      </c>
      <c r="F1595" s="10">
        <f>E1595/778072</f>
        <v>0.15887475709188867</v>
      </c>
      <c r="G1595" s="11">
        <v>4733</v>
      </c>
      <c r="H1595" s="10">
        <f t="shared" si="306"/>
        <v>0.84232069763303075</v>
      </c>
      <c r="I1595" s="11">
        <v>654456</v>
      </c>
      <c r="J1595" s="10">
        <f>I1595/778072</f>
        <v>0.8411252429081113</v>
      </c>
    </row>
    <row r="1596" spans="1:11" ht="15.75">
      <c r="B1596" s="15">
        <f>SUM(B1591:B1595)</f>
        <v>615472</v>
      </c>
      <c r="C1596" s="33">
        <f>SUM(C1591:C1595)</f>
        <v>187976</v>
      </c>
      <c r="D1596" s="17">
        <f t="shared" si="305"/>
        <v>0.30541763069644112</v>
      </c>
      <c r="E1596" s="18">
        <f>SUM(E1591:E1595)</f>
        <v>470191778</v>
      </c>
      <c r="F1596" s="21">
        <f>E1596/792422732</f>
        <v>0.59335978009272961</v>
      </c>
      <c r="G1596" s="18">
        <f>SUM(G1591:G1595)</f>
        <v>427496</v>
      </c>
      <c r="H1596" s="21">
        <f t="shared" si="306"/>
        <v>0.69458236930355888</v>
      </c>
      <c r="I1596" s="18">
        <f>SUM(I1591:I1595)</f>
        <v>322230954</v>
      </c>
      <c r="J1596" s="21">
        <f>I1596/792422732</f>
        <v>0.40664021990727039</v>
      </c>
    </row>
    <row r="1597" spans="1:11" ht="15.75">
      <c r="A1597" s="1" t="s">
        <v>137</v>
      </c>
      <c r="B1597" s="15"/>
      <c r="C1597" s="33"/>
      <c r="D1597" s="17"/>
      <c r="E1597" s="18"/>
      <c r="F1597" s="21"/>
      <c r="G1597" s="18"/>
      <c r="H1597" s="21"/>
      <c r="I1597" s="18"/>
      <c r="J1597" s="21"/>
    </row>
    <row r="1598" spans="1:11" ht="15.75">
      <c r="A1598" s="1" t="s">
        <v>165</v>
      </c>
      <c r="B1598" s="28"/>
      <c r="C1598" s="28" t="s">
        <v>2</v>
      </c>
      <c r="D1598" s="29"/>
      <c r="E1598" s="29"/>
      <c r="F1598" s="30"/>
      <c r="G1598" s="31" t="s">
        <v>3</v>
      </c>
      <c r="H1598" s="30"/>
      <c r="I1598" s="30"/>
      <c r="J1598" s="30"/>
      <c r="K1598" s="3" t="s">
        <v>10</v>
      </c>
    </row>
    <row r="1599" spans="1:11">
      <c r="B1599" s="4" t="s">
        <v>4</v>
      </c>
      <c r="C1599" s="4" t="s">
        <v>5</v>
      </c>
      <c r="D1599" s="4"/>
      <c r="E1599" s="4" t="s">
        <v>6</v>
      </c>
      <c r="F1599" s="5"/>
      <c r="G1599" s="4" t="s">
        <v>7</v>
      </c>
      <c r="H1599" s="5"/>
      <c r="I1599" s="5" t="s">
        <v>6</v>
      </c>
      <c r="J1599" s="5"/>
      <c r="K1599" s="3" t="s">
        <v>11</v>
      </c>
    </row>
    <row r="1600" spans="1:11">
      <c r="B1600" s="4" t="s">
        <v>8</v>
      </c>
      <c r="C1600" s="4" t="s">
        <v>8</v>
      </c>
      <c r="D1600" s="4" t="s">
        <v>9</v>
      </c>
      <c r="E1600" s="4" t="s">
        <v>8</v>
      </c>
      <c r="F1600" s="5" t="s">
        <v>9</v>
      </c>
      <c r="G1600" s="5" t="s">
        <v>8</v>
      </c>
      <c r="H1600" s="5" t="s">
        <v>9</v>
      </c>
      <c r="I1600" s="5" t="s">
        <v>8</v>
      </c>
      <c r="J1600" s="5" t="s">
        <v>9</v>
      </c>
      <c r="K1600" s="3" t="s">
        <v>12</v>
      </c>
    </row>
    <row r="1601" spans="1:11">
      <c r="B1601" s="4"/>
      <c r="C1601" s="4"/>
      <c r="D1601" s="4"/>
      <c r="E1601" s="4"/>
      <c r="F1601" s="4"/>
      <c r="G1601" s="4"/>
      <c r="H1601" s="4"/>
      <c r="I1601" s="4"/>
      <c r="J1601" s="4"/>
    </row>
    <row r="1602" spans="1:11">
      <c r="A1602" s="3" t="s">
        <v>10</v>
      </c>
      <c r="B1602" s="6">
        <v>546441</v>
      </c>
      <c r="C1602" s="7">
        <v>155715</v>
      </c>
      <c r="D1602" s="8">
        <f t="shared" ref="D1602:D1607" si="307">C1602/B1602</f>
        <v>0.28496214595903308</v>
      </c>
      <c r="E1602" s="11">
        <v>112677623</v>
      </c>
      <c r="F1602" s="10">
        <f>E1602/328095818</f>
        <v>0.34342901316712304</v>
      </c>
      <c r="G1602" s="11">
        <v>382633</v>
      </c>
      <c r="H1602" s="10">
        <f t="shared" ref="H1602:H1607" si="308">G1602/B1602</f>
        <v>0.70022747195031121</v>
      </c>
      <c r="I1602" s="11">
        <v>215418195</v>
      </c>
      <c r="J1602" s="10">
        <f>I1602/328095818</f>
        <v>0.65657098683287696</v>
      </c>
    </row>
    <row r="1603" spans="1:11">
      <c r="A1603" s="3" t="s">
        <v>11</v>
      </c>
      <c r="B1603" s="20">
        <v>50523</v>
      </c>
      <c r="C1603" s="7">
        <v>20274</v>
      </c>
      <c r="D1603" s="8">
        <f t="shared" si="307"/>
        <v>0.40128258416958612</v>
      </c>
      <c r="E1603" s="11">
        <v>18973615</v>
      </c>
      <c r="F1603" s="10">
        <f>E1603/44043110</f>
        <v>0.43079644012423285</v>
      </c>
      <c r="G1603" s="11">
        <v>32249</v>
      </c>
      <c r="H1603" s="10">
        <f t="shared" si="308"/>
        <v>0.63830334699047964</v>
      </c>
      <c r="I1603" s="11">
        <v>25069495</v>
      </c>
      <c r="J1603" s="10">
        <f>I1603/44043110</f>
        <v>0.56920355987576721</v>
      </c>
      <c r="K1603" s="22"/>
    </row>
    <row r="1604" spans="1:11" ht="15.75">
      <c r="A1604" s="3" t="s">
        <v>12</v>
      </c>
      <c r="B1604" s="20">
        <v>12053</v>
      </c>
      <c r="C1604" s="7">
        <v>5924</v>
      </c>
      <c r="D1604" s="8">
        <f t="shared" si="307"/>
        <v>0.49149589313863767</v>
      </c>
      <c r="E1604" s="11">
        <v>104486947</v>
      </c>
      <c r="F1604" s="10">
        <f>E1604/160438664</f>
        <v>0.65125789753522256</v>
      </c>
      <c r="G1604" s="11">
        <v>6129</v>
      </c>
      <c r="H1604" s="10">
        <f t="shared" si="308"/>
        <v>0.50850410686136227</v>
      </c>
      <c r="I1604" s="11">
        <v>55951717</v>
      </c>
      <c r="J1604" s="10">
        <f>I1604/160438664</f>
        <v>0.34874210246477744</v>
      </c>
      <c r="K1604" s="1" t="s">
        <v>125</v>
      </c>
    </row>
    <row r="1605" spans="1:11">
      <c r="A1605" s="3" t="s">
        <v>13</v>
      </c>
      <c r="B1605" s="20">
        <v>399</v>
      </c>
      <c r="C1605" s="7">
        <v>359</v>
      </c>
      <c r="D1605" s="8">
        <f t="shared" si="307"/>
        <v>0.89974937343358397</v>
      </c>
      <c r="E1605" s="11">
        <v>229993535</v>
      </c>
      <c r="F1605" s="10">
        <f>E1605/235733169</f>
        <v>0.97565198811712406</v>
      </c>
      <c r="G1605" s="11">
        <v>40</v>
      </c>
      <c r="H1605" s="10">
        <f t="shared" si="308"/>
        <v>0.10025062656641603</v>
      </c>
      <c r="I1605" s="11">
        <v>5739634</v>
      </c>
      <c r="J1605" s="10">
        <f>I1605/235733169</f>
        <v>2.4348011882875931E-2</v>
      </c>
    </row>
    <row r="1606" spans="1:11">
      <c r="A1606" s="3" t="s">
        <v>65</v>
      </c>
      <c r="B1606" s="20">
        <v>5614</v>
      </c>
      <c r="C1606" s="4">
        <v>862</v>
      </c>
      <c r="D1606" s="8">
        <f t="shared" si="307"/>
        <v>0.15354470965443534</v>
      </c>
      <c r="E1606" s="11">
        <v>121013</v>
      </c>
      <c r="F1606" s="10">
        <f>E1606/781547</f>
        <v>0.15483777687074482</v>
      </c>
      <c r="G1606" s="11">
        <v>4752</v>
      </c>
      <c r="H1606" s="10">
        <f t="shared" si="308"/>
        <v>0.84645529034556466</v>
      </c>
      <c r="I1606" s="11">
        <v>660534</v>
      </c>
      <c r="J1606" s="10">
        <f>I1606/781547</f>
        <v>0.84516222312925515</v>
      </c>
    </row>
    <row r="1607" spans="1:11" ht="15.75">
      <c r="B1607" s="15">
        <f>SUM(B1602:B1606)</f>
        <v>615030</v>
      </c>
      <c r="C1607" s="33">
        <f>SUM(C1602:C1606)</f>
        <v>183134</v>
      </c>
      <c r="D1607" s="17">
        <f t="shared" si="307"/>
        <v>0.2977643366990228</v>
      </c>
      <c r="E1607" s="18">
        <f>SUM(E1602:E1606)</f>
        <v>466252733</v>
      </c>
      <c r="F1607" s="21">
        <f>E1607/769092308</f>
        <v>0.60623767543908391</v>
      </c>
      <c r="G1607" s="18">
        <f>SUM(G1602:G1606)</f>
        <v>425803</v>
      </c>
      <c r="H1607" s="21">
        <f t="shared" si="308"/>
        <v>0.69232882948799246</v>
      </c>
      <c r="I1607" s="18">
        <f>SUM(I1602:I1606)</f>
        <v>302839575</v>
      </c>
      <c r="J1607" s="21">
        <f>I1607/769092308</f>
        <v>0.39376232456091603</v>
      </c>
    </row>
    <row r="1608" spans="1:11" ht="15.75">
      <c r="A1608" s="1" t="s">
        <v>137</v>
      </c>
      <c r="B1608" s="15"/>
      <c r="C1608" s="33"/>
      <c r="D1608" s="17"/>
      <c r="E1608" s="18"/>
      <c r="F1608" s="21"/>
      <c r="G1608" s="18"/>
      <c r="H1608" s="21"/>
      <c r="I1608" s="18"/>
      <c r="J1608" s="21"/>
      <c r="K1608" s="3" t="s">
        <v>10</v>
      </c>
    </row>
    <row r="1609" spans="1:11" ht="15.75">
      <c r="A1609" s="1" t="s">
        <v>166</v>
      </c>
      <c r="B1609" s="28"/>
      <c r="C1609" s="28" t="s">
        <v>2</v>
      </c>
      <c r="D1609" s="29"/>
      <c r="E1609" s="29"/>
      <c r="F1609" s="30"/>
      <c r="G1609" s="31" t="s">
        <v>3</v>
      </c>
      <c r="H1609" s="30"/>
      <c r="I1609" s="30"/>
      <c r="J1609" s="30"/>
      <c r="K1609" s="3" t="s">
        <v>11</v>
      </c>
    </row>
    <row r="1610" spans="1:11">
      <c r="B1610" s="4" t="s">
        <v>4</v>
      </c>
      <c r="C1610" s="4" t="s">
        <v>5</v>
      </c>
      <c r="D1610" s="4"/>
      <c r="E1610" s="4" t="s">
        <v>6</v>
      </c>
      <c r="F1610" s="5"/>
      <c r="G1610" s="4" t="s">
        <v>7</v>
      </c>
      <c r="H1610" s="5"/>
      <c r="I1610" s="5" t="s">
        <v>6</v>
      </c>
      <c r="J1610" s="5"/>
      <c r="K1610" s="3" t="s">
        <v>12</v>
      </c>
    </row>
    <row r="1611" spans="1:11">
      <c r="B1611" s="4" t="s">
        <v>8</v>
      </c>
      <c r="C1611" s="4" t="s">
        <v>8</v>
      </c>
      <c r="D1611" s="4" t="s">
        <v>9</v>
      </c>
      <c r="E1611" s="4" t="s">
        <v>8</v>
      </c>
      <c r="F1611" s="5" t="s">
        <v>9</v>
      </c>
      <c r="G1611" s="5" t="s">
        <v>8</v>
      </c>
      <c r="H1611" s="5" t="s">
        <v>9</v>
      </c>
      <c r="I1611" s="5" t="s">
        <v>8</v>
      </c>
      <c r="J1611" s="5" t="s">
        <v>9</v>
      </c>
    </row>
    <row r="1612" spans="1:11">
      <c r="B1612" s="4"/>
      <c r="C1612" s="4"/>
      <c r="D1612" s="4"/>
      <c r="E1612" s="4"/>
      <c r="F1612" s="4"/>
      <c r="G1612" s="4"/>
      <c r="H1612" s="4"/>
      <c r="I1612" s="4"/>
      <c r="J1612" s="4"/>
    </row>
    <row r="1613" spans="1:11">
      <c r="A1613" s="3" t="s">
        <v>10</v>
      </c>
      <c r="B1613" s="6">
        <v>545825</v>
      </c>
      <c r="C1613" s="7">
        <v>146997</v>
      </c>
      <c r="D1613" s="8">
        <f t="shared" ref="D1613:D1618" si="309">C1613/B1613</f>
        <v>0.26931159254339759</v>
      </c>
      <c r="E1613" s="11">
        <v>89289610</v>
      </c>
      <c r="F1613" s="10">
        <f>E1613/274177525</f>
        <v>0.32566349119972543</v>
      </c>
      <c r="G1613" s="11">
        <v>398828</v>
      </c>
      <c r="H1613" s="10">
        <f t="shared" ref="H1613:H1618" si="310">G1613/B1613</f>
        <v>0.73068840745660235</v>
      </c>
      <c r="I1613" s="11">
        <v>184887915</v>
      </c>
      <c r="J1613" s="10">
        <f>I1613/274177525</f>
        <v>0.67433650880027451</v>
      </c>
      <c r="K1613" s="22"/>
    </row>
    <row r="1614" spans="1:11" ht="15.75">
      <c r="A1614" s="3" t="s">
        <v>11</v>
      </c>
      <c r="B1614" s="20">
        <v>50526</v>
      </c>
      <c r="C1614" s="7">
        <v>20015</v>
      </c>
      <c r="D1614" s="8">
        <f t="shared" si="309"/>
        <v>0.39613268416260933</v>
      </c>
      <c r="E1614" s="11">
        <v>16968072</v>
      </c>
      <c r="F1614" s="10">
        <f>E1614/39198347</f>
        <v>0.43287723331802741</v>
      </c>
      <c r="G1614" s="11">
        <v>30511</v>
      </c>
      <c r="H1614" s="10">
        <f t="shared" si="310"/>
        <v>0.60386731583739062</v>
      </c>
      <c r="I1614" s="11">
        <v>22230275</v>
      </c>
      <c r="J1614" s="10">
        <f>I1614/39198347</f>
        <v>0.56712276668197259</v>
      </c>
      <c r="K1614" s="1" t="s">
        <v>125</v>
      </c>
    </row>
    <row r="1615" spans="1:11">
      <c r="A1615" s="3" t="s">
        <v>12</v>
      </c>
      <c r="B1615" s="20">
        <v>12443</v>
      </c>
      <c r="C1615" s="7">
        <v>6079</v>
      </c>
      <c r="D1615" s="8">
        <f t="shared" si="309"/>
        <v>0.48854777786707387</v>
      </c>
      <c r="E1615" s="11">
        <v>103147462</v>
      </c>
      <c r="F1615" s="10">
        <f>E1615/157261464</f>
        <v>0.65589788735529009</v>
      </c>
      <c r="G1615" s="11">
        <v>6364</v>
      </c>
      <c r="H1615" s="10">
        <f t="shared" si="310"/>
        <v>0.51145222213292618</v>
      </c>
      <c r="I1615" s="11">
        <v>54114002</v>
      </c>
      <c r="J1615" s="10">
        <f>I1615/157261464</f>
        <v>0.34410211264470997</v>
      </c>
    </row>
    <row r="1616" spans="1:11">
      <c r="A1616" s="3" t="s">
        <v>13</v>
      </c>
      <c r="B1616" s="20">
        <v>399</v>
      </c>
      <c r="C1616" s="7">
        <v>362</v>
      </c>
      <c r="D1616" s="8">
        <f t="shared" si="309"/>
        <v>0.90726817042606511</v>
      </c>
      <c r="E1616" s="11">
        <v>237647718</v>
      </c>
      <c r="F1616" s="10">
        <f>E1616/243087748</f>
        <v>0.97762112634323306</v>
      </c>
      <c r="G1616" s="11">
        <v>37</v>
      </c>
      <c r="H1616" s="10">
        <f t="shared" si="310"/>
        <v>9.2731829573934832E-2</v>
      </c>
      <c r="I1616" s="11">
        <v>5440030</v>
      </c>
      <c r="J1616" s="10">
        <f>I1616/243087748</f>
        <v>2.237887365676694E-2</v>
      </c>
    </row>
    <row r="1617" spans="1:11">
      <c r="A1617" s="3" t="s">
        <v>65</v>
      </c>
      <c r="B1617" s="20">
        <v>5626</v>
      </c>
      <c r="C1617" s="4">
        <v>825</v>
      </c>
      <c r="D1617" s="8">
        <f t="shared" si="309"/>
        <v>0.14664059722715961</v>
      </c>
      <c r="E1617" s="11">
        <v>114285</v>
      </c>
      <c r="F1617" s="10">
        <f>E1617/783158</f>
        <v>0.14592840780532154</v>
      </c>
      <c r="G1617" s="11">
        <v>4801</v>
      </c>
      <c r="H1617" s="10">
        <f t="shared" si="310"/>
        <v>0.85335940277284039</v>
      </c>
      <c r="I1617" s="11">
        <v>668873</v>
      </c>
      <c r="J1617" s="10">
        <f>I1617/783158</f>
        <v>0.85407159219467843</v>
      </c>
    </row>
    <row r="1618" spans="1:11" ht="15.75">
      <c r="B1618" s="15">
        <f>SUM(B1613:B1617)</f>
        <v>614819</v>
      </c>
      <c r="C1618" s="33">
        <f>SUM(C1613:C1617)</f>
        <v>174278</v>
      </c>
      <c r="D1618" s="17">
        <f t="shared" si="309"/>
        <v>0.28346228727479145</v>
      </c>
      <c r="E1618" s="18">
        <f>SUM(E1613:E1617)</f>
        <v>447167147</v>
      </c>
      <c r="F1618" s="21">
        <f>E1618/714508242</f>
        <v>0.62583903265877228</v>
      </c>
      <c r="G1618" s="18">
        <f>SUM(G1613:G1617)</f>
        <v>440541</v>
      </c>
      <c r="H1618" s="21">
        <f t="shared" si="310"/>
        <v>0.71653771272520861</v>
      </c>
      <c r="I1618" s="18">
        <f>SUM(I1613:I1617)</f>
        <v>267341095</v>
      </c>
      <c r="J1618" s="21">
        <f>I1618/714508242</f>
        <v>0.37416096734122767</v>
      </c>
      <c r="K1618" s="3" t="s">
        <v>10</v>
      </c>
    </row>
    <row r="1619" spans="1:11" ht="15.75">
      <c r="A1619" s="1" t="s">
        <v>137</v>
      </c>
      <c r="B1619" s="15"/>
      <c r="C1619" s="33"/>
      <c r="D1619" s="17"/>
      <c r="E1619" s="18"/>
      <c r="F1619" s="21"/>
      <c r="G1619" s="18"/>
      <c r="H1619" s="21"/>
      <c r="I1619" s="18"/>
      <c r="J1619" s="21"/>
      <c r="K1619" s="3" t="s">
        <v>11</v>
      </c>
    </row>
    <row r="1620" spans="1:11" ht="15.75">
      <c r="A1620" s="1" t="s">
        <v>167</v>
      </c>
      <c r="B1620" s="28"/>
      <c r="C1620" s="28" t="s">
        <v>2</v>
      </c>
      <c r="D1620" s="29"/>
      <c r="E1620" s="29"/>
      <c r="F1620" s="30"/>
      <c r="G1620" s="31" t="s">
        <v>3</v>
      </c>
      <c r="H1620" s="30"/>
      <c r="I1620" s="30"/>
      <c r="J1620" s="30"/>
      <c r="K1620" s="3" t="s">
        <v>12</v>
      </c>
    </row>
    <row r="1621" spans="1:11">
      <c r="B1621" s="4" t="s">
        <v>4</v>
      </c>
      <c r="C1621" s="4" t="s">
        <v>5</v>
      </c>
      <c r="D1621" s="4"/>
      <c r="E1621" s="4" t="s">
        <v>6</v>
      </c>
      <c r="F1621" s="5"/>
      <c r="G1621" s="4" t="s">
        <v>7</v>
      </c>
      <c r="H1621" s="5"/>
      <c r="I1621" s="5" t="s">
        <v>6</v>
      </c>
      <c r="J1621" s="5"/>
    </row>
    <row r="1622" spans="1:11">
      <c r="B1622" s="4" t="s">
        <v>8</v>
      </c>
      <c r="C1622" s="4" t="s">
        <v>8</v>
      </c>
      <c r="D1622" s="4" t="s">
        <v>9</v>
      </c>
      <c r="E1622" s="4" t="s">
        <v>8</v>
      </c>
      <c r="F1622" s="5" t="s">
        <v>9</v>
      </c>
      <c r="G1622" s="5" t="s">
        <v>8</v>
      </c>
      <c r="H1622" s="5" t="s">
        <v>9</v>
      </c>
      <c r="I1622" s="5" t="s">
        <v>8</v>
      </c>
      <c r="J1622" s="5" t="s">
        <v>9</v>
      </c>
    </row>
    <row r="1623" spans="1:11">
      <c r="B1623" s="4"/>
      <c r="C1623" s="4"/>
      <c r="D1623" s="4"/>
      <c r="E1623" s="4"/>
      <c r="F1623" s="4"/>
      <c r="G1623" s="4"/>
      <c r="H1623" s="4"/>
      <c r="I1623" s="4"/>
      <c r="J1623" s="4"/>
      <c r="K1623" s="22"/>
    </row>
    <row r="1624" spans="1:11" ht="15.75">
      <c r="A1624" s="3" t="s">
        <v>10</v>
      </c>
      <c r="B1624" s="6">
        <v>545489</v>
      </c>
      <c r="C1624" s="7">
        <v>152816</v>
      </c>
      <c r="D1624" s="8">
        <f t="shared" ref="D1624:D1629" si="311">C1624/B1624</f>
        <v>0.28014497084267509</v>
      </c>
      <c r="E1624" s="11">
        <v>80516155</v>
      </c>
      <c r="F1624" s="10">
        <f>E1624/265671249</f>
        <v>0.30306687420286116</v>
      </c>
      <c r="G1624" s="11">
        <v>392673</v>
      </c>
      <c r="H1624" s="10">
        <f t="shared" ref="H1624:H1629" si="312">G1624/B1624</f>
        <v>0.71985502915732491</v>
      </c>
      <c r="I1624" s="11">
        <v>185155094</v>
      </c>
      <c r="J1624" s="10">
        <f>I1624/265671249</f>
        <v>0.69693312579713884</v>
      </c>
      <c r="K1624" s="1" t="s">
        <v>125</v>
      </c>
    </row>
    <row r="1625" spans="1:11">
      <c r="A1625" s="3" t="s">
        <v>11</v>
      </c>
      <c r="B1625" s="20">
        <v>50541</v>
      </c>
      <c r="C1625" s="7">
        <v>19650</v>
      </c>
      <c r="D1625" s="8">
        <f t="shared" si="311"/>
        <v>0.38879325695969608</v>
      </c>
      <c r="E1625" s="11">
        <v>17248563</v>
      </c>
      <c r="F1625" s="10">
        <f>E1625/40467032</f>
        <v>0.42623741222237399</v>
      </c>
      <c r="G1625" s="11">
        <v>30891</v>
      </c>
      <c r="H1625" s="10">
        <f t="shared" si="312"/>
        <v>0.61120674304030387</v>
      </c>
      <c r="I1625" s="11">
        <v>23218469</v>
      </c>
      <c r="J1625" s="10">
        <f>I1625/40467032</f>
        <v>0.57376258777762601</v>
      </c>
    </row>
    <row r="1626" spans="1:11">
      <c r="A1626" s="3" t="s">
        <v>12</v>
      </c>
      <c r="B1626" s="20">
        <v>12052</v>
      </c>
      <c r="C1626" s="7">
        <v>5860</v>
      </c>
      <c r="D1626" s="8">
        <f t="shared" si="311"/>
        <v>0.48622635247261864</v>
      </c>
      <c r="E1626" s="11">
        <v>102408532</v>
      </c>
      <c r="F1626" s="10">
        <f>E1626/160167675</f>
        <v>0.63938327131239181</v>
      </c>
      <c r="G1626" s="11">
        <v>6188</v>
      </c>
      <c r="H1626" s="10">
        <f t="shared" si="312"/>
        <v>0.51344175240623968</v>
      </c>
      <c r="I1626" s="11">
        <v>57759143</v>
      </c>
      <c r="J1626" s="10">
        <f>I1626/160167675</f>
        <v>0.36061672868760813</v>
      </c>
    </row>
    <row r="1627" spans="1:11">
      <c r="A1627" s="3" t="s">
        <v>13</v>
      </c>
      <c r="B1627" s="20">
        <v>403</v>
      </c>
      <c r="C1627" s="7">
        <v>364</v>
      </c>
      <c r="D1627" s="8">
        <f t="shared" si="311"/>
        <v>0.90322580645161288</v>
      </c>
      <c r="E1627" s="11">
        <v>232699677</v>
      </c>
      <c r="F1627" s="10">
        <f>E1627/239602352</f>
        <v>0.97119112169650157</v>
      </c>
      <c r="G1627" s="11">
        <v>39</v>
      </c>
      <c r="H1627" s="10">
        <f t="shared" si="312"/>
        <v>9.6774193548387094E-2</v>
      </c>
      <c r="I1627" s="11">
        <v>6902675</v>
      </c>
      <c r="J1627" s="10">
        <f>I1627/239602352</f>
        <v>2.8808878303498455E-2</v>
      </c>
    </row>
    <row r="1628" spans="1:11">
      <c r="A1628" s="3" t="s">
        <v>65</v>
      </c>
      <c r="B1628" s="20">
        <v>5596</v>
      </c>
      <c r="C1628" s="4">
        <v>771</v>
      </c>
      <c r="D1628" s="8">
        <f t="shared" si="311"/>
        <v>0.13777698355968548</v>
      </c>
      <c r="E1628" s="11">
        <v>98624</v>
      </c>
      <c r="F1628" s="10">
        <f>E1628/775046</f>
        <v>0.12724922133654001</v>
      </c>
      <c r="G1628" s="11">
        <v>4825</v>
      </c>
      <c r="H1628" s="10">
        <f t="shared" si="312"/>
        <v>0.86222301644031452</v>
      </c>
      <c r="I1628" s="11">
        <v>676422</v>
      </c>
      <c r="J1628" s="10">
        <f>I1628/775046</f>
        <v>0.87275077866345996</v>
      </c>
      <c r="K1628" s="3" t="s">
        <v>10</v>
      </c>
    </row>
    <row r="1629" spans="1:11" ht="15.75">
      <c r="B1629" s="15">
        <f>SUM(B1624:B1628)</f>
        <v>614081</v>
      </c>
      <c r="C1629" s="33">
        <f>SUM(C1624:C1628)</f>
        <v>179461</v>
      </c>
      <c r="D1629" s="17">
        <f t="shared" si="311"/>
        <v>0.29224320570087658</v>
      </c>
      <c r="E1629" s="18">
        <f>SUM(E1624:E1628)</f>
        <v>432971551</v>
      </c>
      <c r="F1629" s="21">
        <f>E1629/706683354</f>
        <v>0.61268112309321499</v>
      </c>
      <c r="G1629" s="18">
        <f>SUM(G1624:G1628)</f>
        <v>434616</v>
      </c>
      <c r="H1629" s="21">
        <f t="shared" si="312"/>
        <v>0.70775028050045519</v>
      </c>
      <c r="I1629" s="18">
        <f>SUM(I1624:I1628)</f>
        <v>273711803</v>
      </c>
      <c r="J1629" s="21">
        <f>I1629/706683354</f>
        <v>0.38731887690678507</v>
      </c>
      <c r="K1629" s="3" t="s">
        <v>11</v>
      </c>
    </row>
    <row r="1630" spans="1:11" ht="15.75">
      <c r="A1630" s="1" t="s">
        <v>137</v>
      </c>
      <c r="B1630" s="15"/>
      <c r="C1630" s="33"/>
      <c r="D1630" s="17"/>
      <c r="E1630" s="18"/>
      <c r="F1630" s="21"/>
      <c r="G1630" s="18"/>
      <c r="H1630" s="21"/>
      <c r="I1630" s="18"/>
      <c r="J1630" s="21"/>
      <c r="K1630" s="3" t="s">
        <v>12</v>
      </c>
    </row>
    <row r="1631" spans="1:11" ht="15.75">
      <c r="A1631" s="1" t="s">
        <v>168</v>
      </c>
      <c r="B1631" s="28"/>
      <c r="C1631" s="28" t="s">
        <v>2</v>
      </c>
      <c r="D1631" s="29"/>
      <c r="E1631" s="29"/>
      <c r="F1631" s="30"/>
      <c r="G1631" s="31" t="s">
        <v>3</v>
      </c>
      <c r="H1631" s="30"/>
      <c r="I1631" s="30"/>
      <c r="J1631" s="30"/>
    </row>
    <row r="1632" spans="1:11">
      <c r="B1632" s="4" t="s">
        <v>4</v>
      </c>
      <c r="C1632" s="4" t="s">
        <v>5</v>
      </c>
      <c r="D1632" s="4"/>
      <c r="E1632" s="4" t="s">
        <v>6</v>
      </c>
      <c r="F1632" s="5"/>
      <c r="G1632" s="4" t="s">
        <v>7</v>
      </c>
      <c r="H1632" s="5"/>
      <c r="I1632" s="5" t="s">
        <v>6</v>
      </c>
      <c r="J1632" s="5"/>
    </row>
    <row r="1633" spans="1:11">
      <c r="B1633" s="4" t="s">
        <v>8</v>
      </c>
      <c r="C1633" s="4" t="s">
        <v>8</v>
      </c>
      <c r="D1633" s="4" t="s">
        <v>9</v>
      </c>
      <c r="E1633" s="4" t="s">
        <v>8</v>
      </c>
      <c r="F1633" s="5" t="s">
        <v>9</v>
      </c>
      <c r="G1633" s="5" t="s">
        <v>8</v>
      </c>
      <c r="H1633" s="5" t="s">
        <v>9</v>
      </c>
      <c r="I1633" s="5" t="s">
        <v>8</v>
      </c>
      <c r="J1633" s="5" t="s">
        <v>9</v>
      </c>
      <c r="K1633" s="22"/>
    </row>
    <row r="1634" spans="1:11" ht="15.75">
      <c r="B1634" s="4"/>
      <c r="C1634" s="4"/>
      <c r="D1634" s="4"/>
      <c r="E1634" s="4"/>
      <c r="F1634" s="4"/>
      <c r="G1634" s="4"/>
      <c r="H1634" s="4"/>
      <c r="I1634" s="4"/>
      <c r="J1634" s="4"/>
      <c r="K1634" s="1" t="s">
        <v>125</v>
      </c>
    </row>
    <row r="1635" spans="1:11">
      <c r="A1635" s="3" t="s">
        <v>10</v>
      </c>
      <c r="B1635" s="6">
        <v>545324</v>
      </c>
      <c r="C1635" s="7">
        <v>143742</v>
      </c>
      <c r="D1635" s="8">
        <f t="shared" ref="D1635:D1640" si="313">C1635/B1635</f>
        <v>0.2635900858938906</v>
      </c>
      <c r="E1635" s="11">
        <v>84389508</v>
      </c>
      <c r="F1635" s="10">
        <f>E1635/293119059</f>
        <v>0.28790181125683811</v>
      </c>
      <c r="G1635" s="11">
        <v>401582</v>
      </c>
      <c r="H1635" s="10">
        <f t="shared" ref="H1635:H1640" si="314">G1635/B1635</f>
        <v>0.73640991410610934</v>
      </c>
      <c r="I1635" s="11">
        <v>208729551</v>
      </c>
      <c r="J1635" s="10">
        <f>I1635/293119059</f>
        <v>0.71209818874316189</v>
      </c>
    </row>
    <row r="1636" spans="1:11">
      <c r="A1636" s="3" t="s">
        <v>11</v>
      </c>
      <c r="B1636" s="20">
        <v>50506</v>
      </c>
      <c r="C1636" s="7">
        <v>19299</v>
      </c>
      <c r="D1636" s="8">
        <f t="shared" si="313"/>
        <v>0.38211301627529404</v>
      </c>
      <c r="E1636" s="11">
        <v>19003527</v>
      </c>
      <c r="F1636" s="10">
        <f>E1636/46429424</f>
        <v>0.40929921939156516</v>
      </c>
      <c r="G1636" s="11">
        <v>31207</v>
      </c>
      <c r="H1636" s="10">
        <f t="shared" si="314"/>
        <v>0.61788698372470596</v>
      </c>
      <c r="I1636" s="11">
        <v>27425897</v>
      </c>
      <c r="J1636" s="10">
        <f>I1636/46429424</f>
        <v>0.59070078060843489</v>
      </c>
    </row>
    <row r="1637" spans="1:11">
      <c r="A1637" s="3" t="s">
        <v>12</v>
      </c>
      <c r="B1637" s="20">
        <v>12112</v>
      </c>
      <c r="C1637" s="7">
        <v>5878</v>
      </c>
      <c r="D1637" s="8">
        <f t="shared" si="313"/>
        <v>0.48530383091149276</v>
      </c>
      <c r="E1637" s="11">
        <v>112532495</v>
      </c>
      <c r="F1637" s="10">
        <f>E1637/181197804</f>
        <v>0.62104778598751675</v>
      </c>
      <c r="G1637" s="11">
        <v>6234</v>
      </c>
      <c r="H1637" s="10">
        <f t="shared" si="314"/>
        <v>0.51469616908850724</v>
      </c>
      <c r="I1637" s="11">
        <v>68665309</v>
      </c>
      <c r="J1637" s="10">
        <f>I1637/181197804</f>
        <v>0.3789522140124833</v>
      </c>
    </row>
    <row r="1638" spans="1:11">
      <c r="A1638" s="3" t="s">
        <v>13</v>
      </c>
      <c r="B1638" s="20">
        <v>407</v>
      </c>
      <c r="C1638" s="7">
        <v>368</v>
      </c>
      <c r="D1638" s="8">
        <f t="shared" si="313"/>
        <v>0.90417690417690422</v>
      </c>
      <c r="E1638" s="11">
        <v>238937222</v>
      </c>
      <c r="F1638" s="10">
        <f>E1638/245784913</f>
        <v>0.97213949824495538</v>
      </c>
      <c r="G1638" s="11">
        <v>39</v>
      </c>
      <c r="H1638" s="10">
        <f t="shared" si="314"/>
        <v>9.5823095823095825E-2</v>
      </c>
      <c r="I1638" s="11">
        <v>6847691</v>
      </c>
      <c r="J1638" s="10">
        <f>I1638/245784913</f>
        <v>2.7860501755044665E-2</v>
      </c>
      <c r="K1638" s="3" t="s">
        <v>10</v>
      </c>
    </row>
    <row r="1639" spans="1:11">
      <c r="A1639" s="3" t="s">
        <v>65</v>
      </c>
      <c r="B1639" s="20">
        <v>5604</v>
      </c>
      <c r="C1639" s="4">
        <v>721</v>
      </c>
      <c r="D1639" s="8">
        <f t="shared" si="313"/>
        <v>0.12865810135617417</v>
      </c>
      <c r="E1639" s="11">
        <v>77153</v>
      </c>
      <c r="F1639" s="10">
        <f>E1639/777581</f>
        <v>9.9221817405517887E-2</v>
      </c>
      <c r="G1639" s="11">
        <v>4883</v>
      </c>
      <c r="H1639" s="10">
        <f t="shared" si="314"/>
        <v>0.87134189864382583</v>
      </c>
      <c r="I1639" s="11">
        <v>700428</v>
      </c>
      <c r="J1639" s="10">
        <f>I1639/777581</f>
        <v>0.90077818259448217</v>
      </c>
      <c r="K1639" s="3" t="s">
        <v>11</v>
      </c>
    </row>
    <row r="1640" spans="1:11" ht="15.75">
      <c r="B1640" s="15">
        <f>SUM(B1635:B1639)</f>
        <v>613953</v>
      </c>
      <c r="C1640" s="33">
        <f>SUM(C1635:C1639)</f>
        <v>170008</v>
      </c>
      <c r="D1640" s="17">
        <f t="shared" si="313"/>
        <v>0.27690718996405261</v>
      </c>
      <c r="E1640" s="18">
        <f>SUM(E1635:E1639)</f>
        <v>454939905</v>
      </c>
      <c r="F1640" s="21">
        <f>E1640/767308781</f>
        <v>0.59290329560297317</v>
      </c>
      <c r="G1640" s="18">
        <f>SUM(G1635:G1639)</f>
        <v>443945</v>
      </c>
      <c r="H1640" s="21">
        <f t="shared" si="314"/>
        <v>0.72309281003594739</v>
      </c>
      <c r="I1640" s="18">
        <f>SUM(I1635:I1639)</f>
        <v>312368876</v>
      </c>
      <c r="J1640" s="21">
        <f>I1640/767308781</f>
        <v>0.40709670439702683</v>
      </c>
      <c r="K1640" s="3" t="s">
        <v>12</v>
      </c>
    </row>
    <row r="1641" spans="1:11" ht="15.75">
      <c r="A1641" s="1" t="s">
        <v>137</v>
      </c>
      <c r="B1641" s="15"/>
      <c r="C1641" s="33"/>
      <c r="D1641" s="17"/>
      <c r="E1641" s="18"/>
      <c r="F1641" s="21"/>
      <c r="G1641" s="18"/>
      <c r="H1641" s="21"/>
      <c r="I1641" s="18"/>
      <c r="J1641" s="21"/>
    </row>
    <row r="1642" spans="1:11" ht="15.75">
      <c r="A1642" s="1" t="s">
        <v>169</v>
      </c>
      <c r="B1642" s="28"/>
      <c r="C1642" s="28" t="s">
        <v>2</v>
      </c>
      <c r="D1642" s="29"/>
      <c r="E1642" s="29"/>
      <c r="F1642" s="30"/>
      <c r="G1642" s="31" t="s">
        <v>3</v>
      </c>
      <c r="H1642" s="30"/>
      <c r="I1642" s="30"/>
      <c r="J1642" s="30"/>
      <c r="K1642" s="22"/>
    </row>
    <row r="1643" spans="1:11" ht="15.75">
      <c r="B1643" s="4" t="s">
        <v>4</v>
      </c>
      <c r="C1643" s="4" t="s">
        <v>5</v>
      </c>
      <c r="D1643" s="4"/>
      <c r="E1643" s="4" t="s">
        <v>6</v>
      </c>
      <c r="F1643" s="5"/>
      <c r="G1643" s="4" t="s">
        <v>7</v>
      </c>
      <c r="H1643" s="5"/>
      <c r="I1643" s="5" t="s">
        <v>6</v>
      </c>
      <c r="J1643" s="5"/>
      <c r="K1643" s="1" t="s">
        <v>125</v>
      </c>
    </row>
    <row r="1644" spans="1:11">
      <c r="B1644" s="4" t="s">
        <v>8</v>
      </c>
      <c r="C1644" s="4" t="s">
        <v>8</v>
      </c>
      <c r="D1644" s="4" t="s">
        <v>9</v>
      </c>
      <c r="E1644" s="4" t="s">
        <v>8</v>
      </c>
      <c r="F1644" s="5" t="s">
        <v>9</v>
      </c>
      <c r="G1644" s="5" t="s">
        <v>8</v>
      </c>
      <c r="H1644" s="5" t="s">
        <v>9</v>
      </c>
      <c r="I1644" s="5" t="s">
        <v>8</v>
      </c>
      <c r="J1644" s="5" t="s">
        <v>9</v>
      </c>
    </row>
    <row r="1645" spans="1:11">
      <c r="B1645" s="4"/>
      <c r="C1645" s="4"/>
      <c r="D1645" s="4"/>
      <c r="E1645" s="4"/>
      <c r="F1645" s="4"/>
      <c r="G1645" s="4"/>
      <c r="H1645" s="4"/>
      <c r="I1645" s="4"/>
      <c r="J1645" s="4"/>
    </row>
    <row r="1646" spans="1:11">
      <c r="A1646" s="3" t="s">
        <v>10</v>
      </c>
      <c r="B1646" s="6">
        <v>545137</v>
      </c>
      <c r="C1646" s="7">
        <v>136572</v>
      </c>
      <c r="D1646" s="8">
        <f t="shared" ref="D1646:D1651" si="315">C1646/B1646</f>
        <v>0.25052784896273783</v>
      </c>
      <c r="E1646" s="11">
        <v>91075326</v>
      </c>
      <c r="F1646" s="10">
        <f>E1646/331493355</f>
        <v>0.27474253895677636</v>
      </c>
      <c r="G1646" s="11">
        <v>408545</v>
      </c>
      <c r="H1646" s="10">
        <f t="shared" ref="H1646:H1651" si="316">G1646/B1646</f>
        <v>0.74943546301205022</v>
      </c>
      <c r="I1646" s="11">
        <v>240418029</v>
      </c>
      <c r="J1646" s="10">
        <f>I1646/331493355</f>
        <v>0.72525746104322364</v>
      </c>
    </row>
    <row r="1647" spans="1:11">
      <c r="A1647" s="3" t="s">
        <v>11</v>
      </c>
      <c r="B1647" s="20">
        <v>50182</v>
      </c>
      <c r="C1647" s="7">
        <v>19166</v>
      </c>
      <c r="D1647" s="8">
        <f t="shared" si="315"/>
        <v>0.38192977561675501</v>
      </c>
      <c r="E1647" s="11">
        <v>22011044</v>
      </c>
      <c r="F1647" s="10">
        <f>E1647/51315635</f>
        <v>0.42893445633090188</v>
      </c>
      <c r="G1647" s="11">
        <v>31016</v>
      </c>
      <c r="H1647" s="10">
        <f t="shared" si="316"/>
        <v>0.61807022438324499</v>
      </c>
      <c r="I1647" s="11">
        <v>29304591</v>
      </c>
      <c r="J1647" s="10">
        <f>I1647/51315635</f>
        <v>0.57106554366909812</v>
      </c>
      <c r="K1647" s="3" t="s">
        <v>10</v>
      </c>
    </row>
    <row r="1648" spans="1:11">
      <c r="A1648" s="3" t="s">
        <v>12</v>
      </c>
      <c r="B1648" s="20">
        <v>12038</v>
      </c>
      <c r="C1648" s="7">
        <v>5840</v>
      </c>
      <c r="D1648" s="8">
        <f t="shared" si="315"/>
        <v>0.48513042033560394</v>
      </c>
      <c r="E1648" s="11">
        <v>117455902</v>
      </c>
      <c r="F1648" s="10">
        <f>E1648/192802636</f>
        <v>0.60920278081675194</v>
      </c>
      <c r="G1648" s="11">
        <v>6198</v>
      </c>
      <c r="H1648" s="10">
        <f t="shared" si="316"/>
        <v>0.51486957966439606</v>
      </c>
      <c r="I1648" s="11">
        <v>75346734</v>
      </c>
      <c r="J1648" s="10">
        <f>I1648/192802636</f>
        <v>0.39079721918324811</v>
      </c>
      <c r="K1648" s="3" t="s">
        <v>11</v>
      </c>
    </row>
    <row r="1649" spans="1:11">
      <c r="A1649" s="3" t="s">
        <v>13</v>
      </c>
      <c r="B1649" s="20">
        <v>409</v>
      </c>
      <c r="C1649" s="7">
        <v>364</v>
      </c>
      <c r="D1649" s="8">
        <f t="shared" si="315"/>
        <v>0.88997555012224938</v>
      </c>
      <c r="E1649" s="11">
        <v>248219417</v>
      </c>
      <c r="F1649" s="10">
        <f>E1649/256288942</f>
        <v>0.968513955627473</v>
      </c>
      <c r="G1649" s="11">
        <v>45</v>
      </c>
      <c r="H1649" s="10">
        <f t="shared" si="316"/>
        <v>0.1100244498777506</v>
      </c>
      <c r="I1649" s="11">
        <v>8069525</v>
      </c>
      <c r="J1649" s="10">
        <f>I1649/256288942</f>
        <v>3.1486044372527007E-2</v>
      </c>
      <c r="K1649" s="3" t="s">
        <v>12</v>
      </c>
    </row>
    <row r="1650" spans="1:11">
      <c r="A1650" s="3" t="s">
        <v>65</v>
      </c>
      <c r="B1650" s="20">
        <v>5610</v>
      </c>
      <c r="C1650" s="4">
        <v>689</v>
      </c>
      <c r="D1650" s="8">
        <f t="shared" si="315"/>
        <v>0.12281639928698752</v>
      </c>
      <c r="E1650" s="11">
        <v>64193</v>
      </c>
      <c r="F1650" s="10">
        <f>E1650/779479</f>
        <v>8.2353726014427586E-2</v>
      </c>
      <c r="G1650" s="11">
        <v>4921</v>
      </c>
      <c r="H1650" s="10">
        <f t="shared" si="316"/>
        <v>0.87718360071301249</v>
      </c>
      <c r="I1650" s="11">
        <v>719988</v>
      </c>
      <c r="J1650" s="10">
        <f>I1650/779479</f>
        <v>0.92367850833697895</v>
      </c>
      <c r="K1650" s="3" t="s">
        <v>13</v>
      </c>
    </row>
    <row r="1651" spans="1:11" ht="15.75">
      <c r="B1651" s="15">
        <f>SUM(B1646:B1650)</f>
        <v>613376</v>
      </c>
      <c r="C1651" s="33">
        <f>SUM(C1646:C1650)</f>
        <v>162631</v>
      </c>
      <c r="D1651" s="17">
        <f t="shared" si="315"/>
        <v>0.26514079455342238</v>
      </c>
      <c r="E1651" s="18">
        <f>SUM(E1646:E1650)</f>
        <v>478825882</v>
      </c>
      <c r="F1651" s="21">
        <f>E1651/832684749</f>
        <v>0.57503861164148695</v>
      </c>
      <c r="G1651" s="18">
        <f>SUM(G1646:G1650)</f>
        <v>450725</v>
      </c>
      <c r="H1651" s="21">
        <f t="shared" si="316"/>
        <v>0.73482659901919867</v>
      </c>
      <c r="I1651" s="18">
        <f>SUM(I1646:I1650)</f>
        <v>353858867</v>
      </c>
      <c r="J1651" s="21">
        <f>I1651/832684749</f>
        <v>0.4249613883585131</v>
      </c>
    </row>
    <row r="1652" spans="1:11" ht="15.75">
      <c r="A1652" s="1" t="s">
        <v>137</v>
      </c>
      <c r="B1652" s="15"/>
      <c r="C1652" s="33"/>
      <c r="D1652" s="17"/>
      <c r="E1652" s="18"/>
      <c r="F1652" s="21"/>
      <c r="G1652" s="18"/>
      <c r="H1652" s="21"/>
      <c r="I1652" s="18"/>
      <c r="J1652" s="21"/>
      <c r="K1652" s="22"/>
    </row>
    <row r="1653" spans="1:11" ht="15.75">
      <c r="A1653" s="1" t="s">
        <v>170</v>
      </c>
      <c r="B1653" s="28"/>
      <c r="C1653" s="28" t="s">
        <v>2</v>
      </c>
      <c r="D1653" s="29"/>
      <c r="E1653" s="29"/>
      <c r="F1653" s="30"/>
      <c r="G1653" s="31" t="s">
        <v>3</v>
      </c>
      <c r="H1653" s="30"/>
      <c r="I1653" s="30"/>
      <c r="J1653" s="30"/>
      <c r="K1653" s="1" t="s">
        <v>125</v>
      </c>
    </row>
    <row r="1654" spans="1:11">
      <c r="B1654" s="4" t="s">
        <v>4</v>
      </c>
      <c r="C1654" s="4" t="s">
        <v>5</v>
      </c>
      <c r="D1654" s="4"/>
      <c r="E1654" s="4" t="s">
        <v>6</v>
      </c>
      <c r="F1654" s="5"/>
      <c r="G1654" s="4" t="s">
        <v>7</v>
      </c>
      <c r="H1654" s="5"/>
      <c r="I1654" s="5" t="s">
        <v>6</v>
      </c>
      <c r="J1654" s="5"/>
    </row>
    <row r="1655" spans="1:11">
      <c r="B1655" s="4" t="s">
        <v>8</v>
      </c>
      <c r="C1655" s="4" t="s">
        <v>8</v>
      </c>
      <c r="D1655" s="4" t="s">
        <v>9</v>
      </c>
      <c r="E1655" s="4" t="s">
        <v>8</v>
      </c>
      <c r="F1655" s="5" t="s">
        <v>9</v>
      </c>
      <c r="G1655" s="5" t="s">
        <v>8</v>
      </c>
      <c r="H1655" s="5" t="s">
        <v>9</v>
      </c>
      <c r="I1655" s="5" t="s">
        <v>8</v>
      </c>
      <c r="J1655" s="5" t="s">
        <v>9</v>
      </c>
    </row>
    <row r="1656" spans="1:11">
      <c r="B1656" s="4"/>
      <c r="C1656" s="4"/>
      <c r="D1656" s="4"/>
      <c r="E1656" s="4"/>
      <c r="F1656" s="4"/>
      <c r="G1656" s="4"/>
      <c r="H1656" s="4"/>
      <c r="I1656" s="4"/>
      <c r="J1656" s="4"/>
    </row>
    <row r="1657" spans="1:11">
      <c r="A1657" s="3" t="s">
        <v>10</v>
      </c>
      <c r="B1657" s="20">
        <v>544916</v>
      </c>
      <c r="C1657" s="7">
        <v>129931</v>
      </c>
      <c r="D1657" s="8">
        <f t="shared" ref="D1657:D1662" si="317">C1657/B1657</f>
        <v>0.23844225532008603</v>
      </c>
      <c r="E1657" s="11">
        <v>80864170</v>
      </c>
      <c r="F1657" s="10">
        <f>E1657/308904350</f>
        <v>0.26177737542381646</v>
      </c>
      <c r="G1657" s="11">
        <v>414985</v>
      </c>
      <c r="H1657" s="10">
        <f t="shared" ref="H1657:H1662" si="318">G1657/B1657</f>
        <v>0.76155774467991399</v>
      </c>
      <c r="I1657" s="11">
        <v>228040180</v>
      </c>
      <c r="J1657" s="10">
        <f>I1657/308904350</f>
        <v>0.73822262457618348</v>
      </c>
      <c r="K1657" s="3" t="s">
        <v>10</v>
      </c>
    </row>
    <row r="1658" spans="1:11">
      <c r="A1658" s="3" t="s">
        <v>11</v>
      </c>
      <c r="B1658" s="20">
        <v>50504</v>
      </c>
      <c r="C1658" s="7">
        <v>18637</v>
      </c>
      <c r="D1658" s="8">
        <f t="shared" si="317"/>
        <v>0.36902027562173295</v>
      </c>
      <c r="E1658" s="11">
        <v>18798383</v>
      </c>
      <c r="F1658" s="10">
        <f>E1658/48236368</f>
        <v>0.38971389802814344</v>
      </c>
      <c r="G1658" s="11">
        <v>31866</v>
      </c>
      <c r="H1658" s="10">
        <f t="shared" si="318"/>
        <v>0.63095992396641853</v>
      </c>
      <c r="I1658" s="11">
        <v>29437985</v>
      </c>
      <c r="J1658" s="10">
        <f>I1658/48236368</f>
        <v>0.61028610197185662</v>
      </c>
      <c r="K1658" s="3" t="s">
        <v>11</v>
      </c>
    </row>
    <row r="1659" spans="1:11">
      <c r="A1659" s="3" t="s">
        <v>12</v>
      </c>
      <c r="B1659" s="20">
        <v>12036</v>
      </c>
      <c r="C1659" s="7">
        <v>5764</v>
      </c>
      <c r="D1659" s="8">
        <f t="shared" si="317"/>
        <v>0.47889664340312393</v>
      </c>
      <c r="E1659" s="11">
        <v>111678994</v>
      </c>
      <c r="F1659" s="10">
        <f>E1659/183499988</f>
        <v>0.60860491173438114</v>
      </c>
      <c r="G1659" s="11">
        <v>6272</v>
      </c>
      <c r="H1659" s="10">
        <f t="shared" si="318"/>
        <v>0.52110335659687601</v>
      </c>
      <c r="I1659" s="11">
        <v>71820994</v>
      </c>
      <c r="J1659" s="10">
        <f>I1659/183499988</f>
        <v>0.39139508826561886</v>
      </c>
      <c r="K1659" s="3" t="s">
        <v>12</v>
      </c>
    </row>
    <row r="1660" spans="1:11">
      <c r="A1660" s="3" t="s">
        <v>13</v>
      </c>
      <c r="B1660" s="20">
        <v>411</v>
      </c>
      <c r="C1660" s="7">
        <v>366</v>
      </c>
      <c r="D1660" s="8">
        <f t="shared" si="317"/>
        <v>0.89051094890510951</v>
      </c>
      <c r="E1660" s="11">
        <v>247552882</v>
      </c>
      <c r="F1660" s="10">
        <f>E1660/255354356</f>
        <v>0.96944843972037043</v>
      </c>
      <c r="G1660" s="11">
        <v>45</v>
      </c>
      <c r="H1660" s="10">
        <f t="shared" si="318"/>
        <v>0.10948905109489052</v>
      </c>
      <c r="I1660" s="11">
        <v>7801474</v>
      </c>
      <c r="J1660" s="10">
        <f>I1660/255354356</f>
        <v>3.0551560279629613E-2</v>
      </c>
      <c r="K1660" s="3" t="s">
        <v>13</v>
      </c>
    </row>
    <row r="1661" spans="1:11">
      <c r="A1661" s="3" t="s">
        <v>65</v>
      </c>
      <c r="B1661" s="20">
        <v>5608</v>
      </c>
      <c r="C1661" s="4">
        <v>650</v>
      </c>
      <c r="D1661" s="8">
        <f t="shared" si="317"/>
        <v>0.1159058487874465</v>
      </c>
      <c r="E1661" s="11">
        <v>55846</v>
      </c>
      <c r="F1661" s="10">
        <f>E1661/779479</f>
        <v>7.1645291277892029E-2</v>
      </c>
      <c r="G1661" s="11">
        <v>4958</v>
      </c>
      <c r="H1661" s="10">
        <f t="shared" si="318"/>
        <v>0.88409415121255353</v>
      </c>
      <c r="I1661" s="11">
        <v>723633</v>
      </c>
      <c r="J1661" s="10">
        <f>I1661/779479</f>
        <v>0.92835470872210801</v>
      </c>
    </row>
    <row r="1662" spans="1:11" ht="15.75">
      <c r="B1662" s="15">
        <f>SUM(B1657:B1661)</f>
        <v>613475</v>
      </c>
      <c r="C1662" s="33">
        <f>SUM(C1657:C1661)</f>
        <v>155348</v>
      </c>
      <c r="D1662" s="17">
        <f t="shared" si="317"/>
        <v>0.253226292839969</v>
      </c>
      <c r="E1662" s="18">
        <f>SUM(E1657:E1661)</f>
        <v>458950275</v>
      </c>
      <c r="F1662" s="21">
        <f>E1662/791651637</f>
        <v>0.57973766938601046</v>
      </c>
      <c r="G1662" s="18">
        <f>SUM(G1657:G1661)</f>
        <v>458126</v>
      </c>
      <c r="H1662" s="21">
        <f t="shared" si="318"/>
        <v>0.74677207710175642</v>
      </c>
      <c r="I1662" s="18">
        <f>SUM(I1657:I1661)</f>
        <v>337824266</v>
      </c>
      <c r="J1662" s="21">
        <f>I1662/791651637</f>
        <v>0.4267334900995095</v>
      </c>
      <c r="K1662" s="22"/>
    </row>
    <row r="1663" spans="1:11" ht="15.75">
      <c r="A1663" s="1" t="s">
        <v>137</v>
      </c>
      <c r="B1663" s="15"/>
      <c r="C1663" s="33"/>
      <c r="D1663" s="17"/>
      <c r="E1663" s="18"/>
      <c r="F1663" s="21"/>
      <c r="G1663" s="18"/>
      <c r="H1663" s="21"/>
      <c r="I1663" s="18"/>
      <c r="J1663" s="21"/>
      <c r="K1663" s="1" t="s">
        <v>125</v>
      </c>
    </row>
    <row r="1664" spans="1:11" ht="15.75">
      <c r="A1664" s="1" t="s">
        <v>171</v>
      </c>
      <c r="B1664" s="28"/>
      <c r="C1664" s="28" t="s">
        <v>2</v>
      </c>
      <c r="D1664" s="29"/>
      <c r="E1664" s="29"/>
      <c r="F1664" s="30"/>
      <c r="G1664" s="31" t="s">
        <v>3</v>
      </c>
      <c r="H1664" s="30"/>
      <c r="I1664" s="30"/>
      <c r="J1664" s="30"/>
    </row>
    <row r="1665" spans="1:11">
      <c r="B1665" s="4" t="s">
        <v>4</v>
      </c>
      <c r="C1665" s="4" t="s">
        <v>5</v>
      </c>
      <c r="D1665" s="4"/>
      <c r="E1665" s="4" t="s">
        <v>6</v>
      </c>
      <c r="F1665" s="5"/>
      <c r="G1665" s="4" t="s">
        <v>7</v>
      </c>
      <c r="H1665" s="5"/>
      <c r="I1665" s="5" t="s">
        <v>6</v>
      </c>
      <c r="J1665" s="5"/>
    </row>
    <row r="1666" spans="1:11">
      <c r="B1666" s="4" t="s">
        <v>8</v>
      </c>
      <c r="C1666" s="4" t="s">
        <v>8</v>
      </c>
      <c r="D1666" s="4" t="s">
        <v>9</v>
      </c>
      <c r="E1666" s="4" t="s">
        <v>8</v>
      </c>
      <c r="F1666" s="5" t="s">
        <v>9</v>
      </c>
      <c r="G1666" s="5" t="s">
        <v>8</v>
      </c>
      <c r="H1666" s="5" t="s">
        <v>9</v>
      </c>
      <c r="I1666" s="5" t="s">
        <v>8</v>
      </c>
      <c r="J1666" s="5" t="s">
        <v>9</v>
      </c>
    </row>
    <row r="1667" spans="1:11">
      <c r="B1667" s="4"/>
      <c r="C1667" s="4"/>
      <c r="D1667" s="4"/>
      <c r="E1667" s="4"/>
      <c r="F1667" s="4"/>
      <c r="G1667" s="4"/>
      <c r="H1667" s="4"/>
      <c r="I1667" s="4"/>
      <c r="J1667" s="4"/>
      <c r="K1667" s="3" t="s">
        <v>10</v>
      </c>
    </row>
    <row r="1668" spans="1:11">
      <c r="A1668" s="3" t="s">
        <v>10</v>
      </c>
      <c r="B1668" s="20">
        <v>544861</v>
      </c>
      <c r="C1668" s="7">
        <v>122823</v>
      </c>
      <c r="D1668" s="8">
        <f t="shared" ref="D1668:D1673" si="319">C1668/B1668</f>
        <v>0.2254207953955229</v>
      </c>
      <c r="E1668" s="11">
        <v>66200223</v>
      </c>
      <c r="F1668" s="10">
        <f>E1668/270025011</f>
        <v>0.24516330081734539</v>
      </c>
      <c r="G1668" s="11">
        <v>422038</v>
      </c>
      <c r="H1668" s="10">
        <f t="shared" ref="H1668:H1673" si="320">G1668/B1668</f>
        <v>0.77457920460447716</v>
      </c>
      <c r="I1668" s="11">
        <v>203824788</v>
      </c>
      <c r="J1668" s="10">
        <f>I1668/270025011</f>
        <v>0.75483669918265461</v>
      </c>
      <c r="K1668" s="3" t="s">
        <v>11</v>
      </c>
    </row>
    <row r="1669" spans="1:11">
      <c r="A1669" s="3" t="s">
        <v>11</v>
      </c>
      <c r="B1669" s="20">
        <v>50408</v>
      </c>
      <c r="C1669" s="7">
        <v>17802</v>
      </c>
      <c r="D1669" s="8">
        <f t="shared" si="319"/>
        <v>0.35315822885256309</v>
      </c>
      <c r="E1669" s="11">
        <v>16650054</v>
      </c>
      <c r="F1669" s="10">
        <f>E1669/43091034</f>
        <v>0.38639253817859187</v>
      </c>
      <c r="G1669" s="11">
        <v>32606</v>
      </c>
      <c r="H1669" s="10">
        <f t="shared" si="320"/>
        <v>0.64684177114743691</v>
      </c>
      <c r="I1669" s="11">
        <v>26440980</v>
      </c>
      <c r="J1669" s="10">
        <f>I1669/43091034</f>
        <v>0.61360746182140813</v>
      </c>
      <c r="K1669" s="3" t="s">
        <v>12</v>
      </c>
    </row>
    <row r="1670" spans="1:11">
      <c r="A1670" s="3" t="s">
        <v>12</v>
      </c>
      <c r="B1670" s="20">
        <v>12061</v>
      </c>
      <c r="C1670" s="7">
        <v>5667</v>
      </c>
      <c r="D1670" s="8">
        <f t="shared" si="319"/>
        <v>0.46986153718597129</v>
      </c>
      <c r="E1670" s="11">
        <v>103654772</v>
      </c>
      <c r="F1670" s="10">
        <f>E1670/167994688</f>
        <v>0.61701219981431799</v>
      </c>
      <c r="G1670" s="11">
        <v>6394</v>
      </c>
      <c r="H1670" s="10">
        <f t="shared" si="320"/>
        <v>0.53013846281402865</v>
      </c>
      <c r="I1670" s="11">
        <v>64339916</v>
      </c>
      <c r="J1670" s="10">
        <f>I1670/167994688</f>
        <v>0.38298780018568207</v>
      </c>
      <c r="K1670" s="3" t="s">
        <v>13</v>
      </c>
    </row>
    <row r="1671" spans="1:11">
      <c r="A1671" s="3" t="s">
        <v>13</v>
      </c>
      <c r="B1671" s="20">
        <v>419</v>
      </c>
      <c r="C1671" s="7">
        <v>372</v>
      </c>
      <c r="D1671" s="8">
        <f t="shared" si="319"/>
        <v>0.88782816229116945</v>
      </c>
      <c r="E1671" s="11">
        <v>233960496</v>
      </c>
      <c r="F1671" s="10">
        <f>E1671/241448801</f>
        <v>0.96898595077305849</v>
      </c>
      <c r="G1671" s="11">
        <v>47</v>
      </c>
      <c r="H1671" s="10">
        <f t="shared" si="320"/>
        <v>0.11217183770883055</v>
      </c>
      <c r="I1671" s="11">
        <v>7488305</v>
      </c>
      <c r="J1671" s="10">
        <f>I1671/241448801</f>
        <v>3.1014049226941492E-2</v>
      </c>
    </row>
    <row r="1672" spans="1:11">
      <c r="A1672" s="3" t="s">
        <v>65</v>
      </c>
      <c r="B1672" s="20">
        <v>5608</v>
      </c>
      <c r="C1672" s="4">
        <v>609</v>
      </c>
      <c r="D1672" s="8">
        <f t="shared" si="319"/>
        <v>0.10859486447931527</v>
      </c>
      <c r="E1672" s="11">
        <v>58356</v>
      </c>
      <c r="F1672" s="10">
        <f>E1672/778774</f>
        <v>7.4933164178567851E-2</v>
      </c>
      <c r="G1672" s="11">
        <f>B1672-C1672</f>
        <v>4999</v>
      </c>
      <c r="H1672" s="10">
        <f t="shared" si="320"/>
        <v>0.89140513552068479</v>
      </c>
      <c r="I1672" s="11">
        <v>720418</v>
      </c>
      <c r="J1672" s="10">
        <f>I1672/778774</f>
        <v>0.92506683582143212</v>
      </c>
      <c r="K1672" s="22"/>
    </row>
    <row r="1673" spans="1:11" ht="15.75">
      <c r="B1673" s="15">
        <f>SUM(B1668:B1672)</f>
        <v>613357</v>
      </c>
      <c r="C1673" s="33">
        <f>SUM(C1668:C1672)</f>
        <v>147273</v>
      </c>
      <c r="D1673" s="17">
        <f t="shared" si="319"/>
        <v>0.24010975663439074</v>
      </c>
      <c r="E1673" s="18">
        <f>SUM(E1668:E1672)</f>
        <v>420523901</v>
      </c>
      <c r="F1673" s="21">
        <f>E1673/718769394</f>
        <v>0.58506094515204132</v>
      </c>
      <c r="G1673" s="18">
        <f>SUM(G1668:G1672)</f>
        <v>466084</v>
      </c>
      <c r="H1673" s="21">
        <f t="shared" si="320"/>
        <v>0.75989024336560929</v>
      </c>
      <c r="I1673" s="18">
        <f>SUM(I1668:I1672)</f>
        <v>302814407</v>
      </c>
      <c r="J1673" s="21">
        <f>I1673/718769394</f>
        <v>0.4212956332417237</v>
      </c>
      <c r="K1673" s="1" t="s">
        <v>125</v>
      </c>
    </row>
    <row r="1674" spans="1:11" ht="15.75">
      <c r="A1674" s="1" t="s">
        <v>137</v>
      </c>
      <c r="B1674" s="15"/>
      <c r="C1674" s="33"/>
      <c r="D1674" s="17"/>
      <c r="E1674" s="18"/>
      <c r="F1674" s="21"/>
      <c r="G1674" s="18"/>
      <c r="H1674" s="21"/>
      <c r="I1674" s="18"/>
      <c r="J1674" s="21"/>
    </row>
    <row r="1675" spans="1:11" ht="15.75">
      <c r="A1675" s="1" t="s">
        <v>172</v>
      </c>
      <c r="B1675" s="28"/>
      <c r="C1675" s="28" t="s">
        <v>2</v>
      </c>
      <c r="D1675" s="29"/>
      <c r="E1675" s="29"/>
      <c r="F1675" s="30"/>
      <c r="G1675" s="31" t="s">
        <v>3</v>
      </c>
      <c r="H1675" s="30"/>
      <c r="I1675" s="30"/>
      <c r="J1675" s="30"/>
    </row>
    <row r="1676" spans="1:11">
      <c r="B1676" s="4" t="s">
        <v>4</v>
      </c>
      <c r="C1676" s="4" t="s">
        <v>5</v>
      </c>
      <c r="D1676" s="4"/>
      <c r="E1676" s="4" t="s">
        <v>6</v>
      </c>
      <c r="F1676" s="5"/>
      <c r="G1676" s="4" t="s">
        <v>7</v>
      </c>
      <c r="H1676" s="5"/>
      <c r="I1676" s="5" t="s">
        <v>6</v>
      </c>
      <c r="J1676" s="5"/>
    </row>
    <row r="1677" spans="1:11">
      <c r="B1677" s="4" t="s">
        <v>8</v>
      </c>
      <c r="C1677" s="4" t="s">
        <v>8</v>
      </c>
      <c r="D1677" s="4" t="s">
        <v>9</v>
      </c>
      <c r="E1677" s="4" t="s">
        <v>8</v>
      </c>
      <c r="F1677" s="5" t="s">
        <v>9</v>
      </c>
      <c r="G1677" s="5" t="s">
        <v>8</v>
      </c>
      <c r="H1677" s="5" t="s">
        <v>9</v>
      </c>
      <c r="I1677" s="5" t="s">
        <v>8</v>
      </c>
      <c r="J1677" s="5" t="s">
        <v>9</v>
      </c>
      <c r="K1677" s="3" t="s">
        <v>10</v>
      </c>
    </row>
    <row r="1678" spans="1:11">
      <c r="B1678" s="4"/>
      <c r="C1678" s="4"/>
      <c r="D1678" s="4"/>
      <c r="E1678" s="4"/>
      <c r="F1678" s="4"/>
      <c r="G1678" s="4"/>
      <c r="H1678" s="4"/>
      <c r="I1678" s="4"/>
      <c r="J1678" s="4"/>
      <c r="K1678" s="3" t="s">
        <v>11</v>
      </c>
    </row>
    <row r="1679" spans="1:11">
      <c r="A1679" s="3" t="s">
        <v>10</v>
      </c>
      <c r="B1679" s="20">
        <v>544750</v>
      </c>
      <c r="C1679" s="7">
        <v>114439</v>
      </c>
      <c r="D1679" s="8">
        <f>C1679/B1679</f>
        <v>0.21007618173474071</v>
      </c>
      <c r="E1679" s="11">
        <v>54061067</v>
      </c>
      <c r="F1679" s="10">
        <f>E1679/240710709</f>
        <v>0.22458937213300303</v>
      </c>
      <c r="G1679" s="11">
        <v>430311</v>
      </c>
      <c r="H1679" s="10">
        <f t="shared" ref="H1679:H1684" si="321">G1679/B1679</f>
        <v>0.78992381826525926</v>
      </c>
      <c r="I1679" s="11">
        <v>186649642</v>
      </c>
      <c r="J1679" s="10">
        <f>I1679/240710709</f>
        <v>0.77541062786699699</v>
      </c>
      <c r="K1679" s="3" t="s">
        <v>12</v>
      </c>
    </row>
    <row r="1680" spans="1:11">
      <c r="A1680" s="3" t="s">
        <v>11</v>
      </c>
      <c r="B1680" s="20">
        <v>50078</v>
      </c>
      <c r="C1680" s="7">
        <v>17397</v>
      </c>
      <c r="D1680" s="8">
        <v>0.3216</v>
      </c>
      <c r="E1680" s="11">
        <v>15389232</v>
      </c>
      <c r="F1680" s="10">
        <f>E1680/37399605</f>
        <v>0.41148113730078167</v>
      </c>
      <c r="G1680" s="11">
        <f>B1680-C1680</f>
        <v>32681</v>
      </c>
      <c r="H1680" s="10">
        <f t="shared" si="321"/>
        <v>0.65260194097208357</v>
      </c>
      <c r="I1680" s="11">
        <v>22010373</v>
      </c>
      <c r="J1680" s="10">
        <f>I1680/37399605</f>
        <v>0.58851886269921838</v>
      </c>
      <c r="K1680" s="3" t="s">
        <v>13</v>
      </c>
    </row>
    <row r="1681" spans="1:11">
      <c r="A1681" s="3" t="s">
        <v>12</v>
      </c>
      <c r="B1681" s="20">
        <v>12049</v>
      </c>
      <c r="C1681" s="7">
        <v>5540</v>
      </c>
      <c r="D1681" s="8">
        <f>C1681/B1681</f>
        <v>0.45978919412399372</v>
      </c>
      <c r="E1681" s="11">
        <v>90212187</v>
      </c>
      <c r="F1681" s="10">
        <f>E1681/145795993</f>
        <v>0.6187562850235534</v>
      </c>
      <c r="G1681" s="11">
        <f>B1681-C1681</f>
        <v>6509</v>
      </c>
      <c r="H1681" s="10">
        <f t="shared" si="321"/>
        <v>0.54021080587600634</v>
      </c>
      <c r="I1681" s="11">
        <v>55583806</v>
      </c>
      <c r="J1681" s="10">
        <f>I1681/145795993</f>
        <v>0.3812437149764466</v>
      </c>
    </row>
    <row r="1682" spans="1:11">
      <c r="A1682" s="3" t="s">
        <v>13</v>
      </c>
      <c r="B1682" s="20">
        <v>427</v>
      </c>
      <c r="C1682" s="7">
        <v>376</v>
      </c>
      <c r="D1682" s="8">
        <f>C1682/B1682</f>
        <v>0.88056206088992972</v>
      </c>
      <c r="E1682" s="11">
        <v>215511709</v>
      </c>
      <c r="F1682" s="10">
        <f>E1682/221694806</f>
        <v>0.97210986981805969</v>
      </c>
      <c r="G1682" s="11">
        <f>B1682-C1682</f>
        <v>51</v>
      </c>
      <c r="H1682" s="10">
        <f t="shared" si="321"/>
        <v>0.11943793911007025</v>
      </c>
      <c r="I1682" s="11">
        <v>6183097</v>
      </c>
      <c r="J1682" s="10">
        <f>I1682/221694806</f>
        <v>2.7890130181940302E-2</v>
      </c>
      <c r="K1682" s="22"/>
    </row>
    <row r="1683" spans="1:11" ht="15.75">
      <c r="A1683" s="3" t="s">
        <v>65</v>
      </c>
      <c r="B1683" s="20">
        <v>5398</v>
      </c>
      <c r="C1683" s="4">
        <v>568</v>
      </c>
      <c r="D1683" s="8">
        <f>C1683/B1683</f>
        <v>0.10522415709522046</v>
      </c>
      <c r="E1683" s="11">
        <v>56590</v>
      </c>
      <c r="F1683" s="10">
        <f>E1683/780385</f>
        <v>7.2515489149586429E-2</v>
      </c>
      <c r="G1683" s="11">
        <f>B1683-C1683</f>
        <v>4830</v>
      </c>
      <c r="H1683" s="10">
        <f t="shared" si="321"/>
        <v>0.89477584290477952</v>
      </c>
      <c r="I1683" s="11">
        <v>723795</v>
      </c>
      <c r="J1683" s="10">
        <f>I1683/780385</f>
        <v>0.92748451085041361</v>
      </c>
      <c r="K1683" s="1" t="s">
        <v>125</v>
      </c>
    </row>
    <row r="1684" spans="1:11" ht="15.75">
      <c r="B1684" s="15">
        <f>SUM(B1679:B1683)</f>
        <v>612702</v>
      </c>
      <c r="C1684" s="33">
        <f>SUM(C1679:C1683)</f>
        <v>138320</v>
      </c>
      <c r="D1684" s="17">
        <f>C1684/B1684</f>
        <v>0.22575411864168879</v>
      </c>
      <c r="E1684" s="18">
        <f>SUM(E1679:E1683)</f>
        <v>375230785</v>
      </c>
      <c r="F1684" s="21">
        <f>E1684/641867486</f>
        <v>0.58459229231000498</v>
      </c>
      <c r="G1684" s="18">
        <f>SUM(G1679:G1683)</f>
        <v>474382</v>
      </c>
      <c r="H1684" s="21">
        <f t="shared" si="321"/>
        <v>0.77424588135831118</v>
      </c>
      <c r="I1684" s="18">
        <f>SUM(I1679:I1683)</f>
        <v>271150713</v>
      </c>
      <c r="J1684" s="21">
        <f>I1684/641867486</f>
        <v>0.42244033061989372</v>
      </c>
    </row>
    <row r="1685" spans="1:11" ht="15.75">
      <c r="A1685" s="1" t="s">
        <v>137</v>
      </c>
      <c r="B1685" s="15"/>
      <c r="C1685" s="33"/>
      <c r="D1685" s="17"/>
      <c r="E1685" s="18"/>
      <c r="F1685" s="21"/>
      <c r="G1685" s="18"/>
      <c r="H1685" s="21"/>
      <c r="I1685" s="18"/>
      <c r="J1685" s="21"/>
    </row>
    <row r="1686" spans="1:11" ht="15.75">
      <c r="A1686" s="1" t="s">
        <v>173</v>
      </c>
      <c r="B1686" s="28"/>
      <c r="C1686" s="28" t="s">
        <v>2</v>
      </c>
      <c r="D1686" s="29"/>
      <c r="E1686" s="29"/>
      <c r="F1686" s="30"/>
      <c r="G1686" s="31" t="s">
        <v>3</v>
      </c>
      <c r="H1686" s="30"/>
      <c r="I1686" s="30"/>
      <c r="J1686" s="30"/>
    </row>
    <row r="1687" spans="1:11">
      <c r="B1687" s="4" t="s">
        <v>4</v>
      </c>
      <c r="C1687" s="4" t="s">
        <v>5</v>
      </c>
      <c r="D1687" s="4"/>
      <c r="E1687" s="4" t="s">
        <v>6</v>
      </c>
      <c r="F1687" s="5"/>
      <c r="G1687" s="4" t="s">
        <v>7</v>
      </c>
      <c r="H1687" s="5"/>
      <c r="I1687" s="5" t="s">
        <v>6</v>
      </c>
      <c r="J1687" s="5"/>
      <c r="K1687" s="3" t="s">
        <v>10</v>
      </c>
    </row>
    <row r="1688" spans="1:11">
      <c r="B1688" s="4" t="s">
        <v>8</v>
      </c>
      <c r="C1688" s="4" t="s">
        <v>8</v>
      </c>
      <c r="D1688" s="4" t="s">
        <v>9</v>
      </c>
      <c r="E1688" s="4" t="s">
        <v>8</v>
      </c>
      <c r="F1688" s="5" t="s">
        <v>9</v>
      </c>
      <c r="G1688" s="5" t="s">
        <v>8</v>
      </c>
      <c r="H1688" s="5" t="s">
        <v>9</v>
      </c>
      <c r="I1688" s="5" t="s">
        <v>8</v>
      </c>
      <c r="J1688" s="5" t="s">
        <v>9</v>
      </c>
      <c r="K1688" s="3" t="s">
        <v>11</v>
      </c>
    </row>
    <row r="1689" spans="1:11">
      <c r="B1689" s="4"/>
      <c r="C1689" s="4"/>
      <c r="D1689" s="4"/>
      <c r="E1689" s="4"/>
      <c r="F1689" s="4"/>
      <c r="G1689" s="4"/>
      <c r="H1689" s="4"/>
      <c r="I1689" s="4"/>
      <c r="J1689" s="4"/>
      <c r="K1689" s="3" t="s">
        <v>12</v>
      </c>
    </row>
    <row r="1690" spans="1:11">
      <c r="A1690" s="3" t="s">
        <v>10</v>
      </c>
      <c r="B1690" s="20">
        <v>545457</v>
      </c>
      <c r="C1690" s="7">
        <v>83850</v>
      </c>
      <c r="D1690" s="8">
        <f>C1690/B1690</f>
        <v>0.15372430824061292</v>
      </c>
      <c r="E1690" s="11">
        <v>52338531</v>
      </c>
      <c r="F1690" s="10">
        <f>E1690/275305311</f>
        <v>0.19011086567814162</v>
      </c>
      <c r="G1690" s="11">
        <f>B1690-C1690</f>
        <v>461607</v>
      </c>
      <c r="H1690" s="10">
        <f>G1690/B1690</f>
        <v>0.84627569175938711</v>
      </c>
      <c r="I1690" s="11">
        <v>222966780</v>
      </c>
      <c r="J1690" s="10">
        <f>I1690/275305311</f>
        <v>0.80988913432185838</v>
      </c>
      <c r="K1690" s="3" t="s">
        <v>13</v>
      </c>
    </row>
    <row r="1691" spans="1:11">
      <c r="A1691" s="3" t="s">
        <v>11</v>
      </c>
      <c r="B1691" s="20">
        <v>50311</v>
      </c>
      <c r="C1691" s="7">
        <v>16395</v>
      </c>
      <c r="D1691" s="8">
        <v>0.3216</v>
      </c>
      <c r="E1691" s="11">
        <v>16165321</v>
      </c>
      <c r="F1691" s="10">
        <f>E1691/41411379</f>
        <v>0.3903593985604778</v>
      </c>
      <c r="G1691" s="11">
        <f>B1691-C1691</f>
        <v>33916</v>
      </c>
      <c r="H1691" s="10">
        <f>G1691/B1691</f>
        <v>0.67412693049233763</v>
      </c>
      <c r="I1691" s="11">
        <v>25246058</v>
      </c>
      <c r="J1691" s="10">
        <v>0.60960000000000003</v>
      </c>
    </row>
    <row r="1692" spans="1:11">
      <c r="A1692" s="3" t="s">
        <v>12</v>
      </c>
      <c r="B1692" s="20">
        <v>12016</v>
      </c>
      <c r="C1692" s="7">
        <v>5339</v>
      </c>
      <c r="D1692" s="8">
        <v>0.44140000000000001</v>
      </c>
      <c r="E1692" s="11">
        <v>94273581</v>
      </c>
      <c r="F1692" s="10">
        <f>E1692/156430906</f>
        <v>0.60265316752688247</v>
      </c>
      <c r="G1692" s="11">
        <f>B1692-C1692</f>
        <v>6677</v>
      </c>
      <c r="H1692" s="10">
        <f>G1692/B1692</f>
        <v>0.55567576564580556</v>
      </c>
      <c r="I1692" s="11">
        <v>62157325</v>
      </c>
      <c r="J1692" s="10">
        <v>0.39729999999999999</v>
      </c>
      <c r="K1692" s="22"/>
    </row>
    <row r="1693" spans="1:11" ht="15.75">
      <c r="A1693" s="3" t="s">
        <v>13</v>
      </c>
      <c r="B1693" s="20">
        <v>427</v>
      </c>
      <c r="C1693" s="7">
        <v>376</v>
      </c>
      <c r="D1693" s="8">
        <v>0.88060000000000005</v>
      </c>
      <c r="E1693" s="11">
        <v>245539121</v>
      </c>
      <c r="F1693" s="10">
        <f>E1693/251177618</f>
        <v>0.97755175383500925</v>
      </c>
      <c r="G1693" s="11">
        <f>B1693-C1693</f>
        <v>51</v>
      </c>
      <c r="H1693" s="10">
        <f>G1693/B1693</f>
        <v>0.11943793911007025</v>
      </c>
      <c r="I1693" s="11">
        <v>5638497</v>
      </c>
      <c r="J1693" s="10">
        <f>I1693/251177618</f>
        <v>2.2448246164990703E-2</v>
      </c>
      <c r="K1693" s="1" t="s">
        <v>125</v>
      </c>
    </row>
    <row r="1694" spans="1:11">
      <c r="A1694" s="3" t="s">
        <v>65</v>
      </c>
      <c r="B1694" s="20">
        <v>5397</v>
      </c>
      <c r="C1694" s="4">
        <v>468</v>
      </c>
      <c r="D1694" s="8">
        <f>C1694/B1694</f>
        <v>8.6714841578654805E-2</v>
      </c>
      <c r="E1694" s="11">
        <v>63391</v>
      </c>
      <c r="F1694" s="10">
        <f>E1694/778510</f>
        <v>8.142605746875442E-2</v>
      </c>
      <c r="G1694" s="11">
        <f>B1694-C1694</f>
        <v>4929</v>
      </c>
      <c r="H1694" s="10">
        <f>G1694/B1694</f>
        <v>0.91328515842134517</v>
      </c>
      <c r="I1694" s="11">
        <v>715119</v>
      </c>
      <c r="J1694" s="10">
        <f>I1694/778510</f>
        <v>0.91857394253124558</v>
      </c>
    </row>
    <row r="1695" spans="1:11" ht="15.75">
      <c r="B1695" s="15">
        <f>SUM(B1690:B1694)</f>
        <v>613608</v>
      </c>
      <c r="C1695" s="33">
        <f>SUM(C1690:C1694)</f>
        <v>106428</v>
      </c>
      <c r="D1695" s="17">
        <f>C1695/B1695</f>
        <v>0.17344623929283842</v>
      </c>
      <c r="E1695" s="18">
        <f>SUM(E1690:E1694)</f>
        <v>408379945</v>
      </c>
      <c r="F1695" s="21">
        <f>E1695/719247174</f>
        <v>0.56778804250122783</v>
      </c>
      <c r="G1695" s="18">
        <f>SUM(G1690:G1694)</f>
        <v>507180</v>
      </c>
      <c r="H1695" s="21">
        <v>0.82730000000000004</v>
      </c>
      <c r="I1695" s="18">
        <f>SUM(I1690:I1694)</f>
        <v>316723779</v>
      </c>
      <c r="J1695" s="21">
        <f>I1695/719247174</f>
        <v>0.44035456856727251</v>
      </c>
    </row>
    <row r="1696" spans="1:11" ht="15.75">
      <c r="A1696" s="1" t="s">
        <v>137</v>
      </c>
      <c r="B1696" s="15"/>
      <c r="C1696" s="33"/>
      <c r="D1696" s="17"/>
      <c r="E1696" s="18"/>
      <c r="F1696" s="21"/>
      <c r="G1696" s="18"/>
      <c r="H1696" s="21"/>
      <c r="I1696" s="18"/>
      <c r="J1696" s="21"/>
    </row>
    <row r="1697" spans="1:11" ht="15.75">
      <c r="A1697" s="1" t="s">
        <v>174</v>
      </c>
      <c r="B1697" s="28"/>
      <c r="C1697" s="28" t="s">
        <v>2</v>
      </c>
      <c r="D1697" s="29"/>
      <c r="E1697" s="29"/>
      <c r="F1697" s="30"/>
      <c r="G1697" s="31" t="s">
        <v>3</v>
      </c>
      <c r="H1697" s="30"/>
      <c r="I1697" s="30"/>
      <c r="J1697" s="30"/>
      <c r="K1697" s="3" t="s">
        <v>10</v>
      </c>
    </row>
    <row r="1698" spans="1:11">
      <c r="B1698" s="4" t="s">
        <v>4</v>
      </c>
      <c r="C1698" s="4" t="s">
        <v>5</v>
      </c>
      <c r="D1698" s="4"/>
      <c r="E1698" s="4" t="s">
        <v>6</v>
      </c>
      <c r="F1698" s="5"/>
      <c r="G1698" s="4" t="s">
        <v>7</v>
      </c>
      <c r="H1698" s="5"/>
      <c r="I1698" s="5" t="s">
        <v>6</v>
      </c>
      <c r="J1698" s="5"/>
      <c r="K1698" s="3" t="s">
        <v>11</v>
      </c>
    </row>
    <row r="1699" spans="1:11">
      <c r="B1699" s="4" t="s">
        <v>8</v>
      </c>
      <c r="C1699" s="4" t="s">
        <v>8</v>
      </c>
      <c r="D1699" s="4" t="s">
        <v>9</v>
      </c>
      <c r="E1699" s="4" t="s">
        <v>8</v>
      </c>
      <c r="F1699" s="5" t="s">
        <v>9</v>
      </c>
      <c r="G1699" s="5" t="s">
        <v>8</v>
      </c>
      <c r="H1699" s="5" t="s">
        <v>9</v>
      </c>
      <c r="I1699" s="5" t="s">
        <v>8</v>
      </c>
      <c r="J1699" s="5" t="s">
        <v>9</v>
      </c>
      <c r="K1699" s="3" t="s">
        <v>12</v>
      </c>
    </row>
    <row r="1700" spans="1:11">
      <c r="B1700" s="4"/>
      <c r="C1700" s="4"/>
      <c r="D1700" s="4"/>
      <c r="E1700" s="4"/>
      <c r="F1700" s="4"/>
      <c r="G1700" s="4"/>
      <c r="H1700" s="4"/>
      <c r="I1700" s="4"/>
      <c r="J1700" s="4"/>
      <c r="K1700" s="3" t="s">
        <v>13</v>
      </c>
    </row>
    <row r="1701" spans="1:11">
      <c r="A1701" s="3" t="s">
        <v>10</v>
      </c>
      <c r="B1701" s="20">
        <v>545458</v>
      </c>
      <c r="C1701" s="7">
        <v>60917</v>
      </c>
      <c r="D1701" s="8">
        <f t="shared" ref="D1701:D1706" si="322">C1701/B1701</f>
        <v>0.11168045935709074</v>
      </c>
      <c r="E1701" s="11">
        <v>39626158</v>
      </c>
      <c r="F1701" s="10">
        <f>E1701/286436534</f>
        <v>0.13834184294381946</v>
      </c>
      <c r="G1701" s="11">
        <f>B1701-C1701</f>
        <v>484541</v>
      </c>
      <c r="H1701" s="10">
        <f t="shared" ref="H1701:H1706" si="323">G1701/B1701</f>
        <v>0.8883195406429093</v>
      </c>
      <c r="I1701" s="11">
        <v>246810376</v>
      </c>
      <c r="J1701" s="10">
        <f>I1701/286436534</f>
        <v>0.86165815705618054</v>
      </c>
    </row>
    <row r="1702" spans="1:11">
      <c r="A1702" s="3" t="s">
        <v>11</v>
      </c>
      <c r="B1702" s="20">
        <v>50418</v>
      </c>
      <c r="C1702" s="7">
        <v>14868</v>
      </c>
      <c r="D1702" s="8">
        <f t="shared" si="322"/>
        <v>0.29489468047126027</v>
      </c>
      <c r="E1702" s="11">
        <v>14782518</v>
      </c>
      <c r="F1702" s="10">
        <f>E1702/41754402</f>
        <v>0.3540349589966586</v>
      </c>
      <c r="G1702" s="11">
        <f>B1702-C1702</f>
        <v>35550</v>
      </c>
      <c r="H1702" s="10">
        <f t="shared" si="323"/>
        <v>0.70510531952873978</v>
      </c>
      <c r="I1702" s="11">
        <v>26971884</v>
      </c>
      <c r="J1702" s="10">
        <f>I1702/41754402</f>
        <v>0.6459650410033414</v>
      </c>
      <c r="K1702" s="22"/>
    </row>
    <row r="1703" spans="1:11" ht="15.75">
      <c r="A1703" s="3" t="s">
        <v>12</v>
      </c>
      <c r="B1703" s="20">
        <v>11945</v>
      </c>
      <c r="C1703" s="7">
        <v>5129</v>
      </c>
      <c r="D1703" s="8">
        <f t="shared" si="322"/>
        <v>0.42938467978233569</v>
      </c>
      <c r="E1703" s="11">
        <v>88045327</v>
      </c>
      <c r="F1703" s="10">
        <f>E1703/156430906</f>
        <v>0.56283843935545574</v>
      </c>
      <c r="G1703" s="11">
        <f>B1703-C1703</f>
        <v>6816</v>
      </c>
      <c r="H1703" s="10">
        <f t="shared" si="323"/>
        <v>0.57061532021766426</v>
      </c>
      <c r="I1703" s="11">
        <v>60811950</v>
      </c>
      <c r="J1703" s="10">
        <v>0.43719999999999998</v>
      </c>
      <c r="K1703" s="1" t="s">
        <v>125</v>
      </c>
    </row>
    <row r="1704" spans="1:11">
      <c r="A1704" s="3" t="s">
        <v>13</v>
      </c>
      <c r="B1704" s="20">
        <v>427</v>
      </c>
      <c r="C1704" s="7">
        <v>376</v>
      </c>
      <c r="D1704" s="8">
        <f t="shared" si="322"/>
        <v>0.88056206088992972</v>
      </c>
      <c r="E1704" s="11">
        <v>211609891</v>
      </c>
      <c r="F1704" s="10">
        <f>E1704/216641732</f>
        <v>0.97677344547817779</v>
      </c>
      <c r="G1704" s="11">
        <f>B1704-C1704</f>
        <v>51</v>
      </c>
      <c r="H1704" s="10">
        <f t="shared" si="323"/>
        <v>0.11943793911007025</v>
      </c>
      <c r="I1704" s="11">
        <v>5031841</v>
      </c>
      <c r="J1704" s="10">
        <f>I1704/216641732</f>
        <v>2.3226554521822231E-2</v>
      </c>
    </row>
    <row r="1705" spans="1:11">
      <c r="A1705" s="3" t="s">
        <v>65</v>
      </c>
      <c r="B1705" s="20">
        <v>5601</v>
      </c>
      <c r="C1705" s="4">
        <v>345</v>
      </c>
      <c r="D1705" s="8">
        <f t="shared" si="322"/>
        <v>6.1596143545795394E-2</v>
      </c>
      <c r="E1705" s="11">
        <v>52511</v>
      </c>
      <c r="F1705" s="10">
        <f>E1705/781009</f>
        <v>6.7234820597457903E-2</v>
      </c>
      <c r="G1705" s="11">
        <f>B1705-C1705</f>
        <v>5256</v>
      </c>
      <c r="H1705" s="10">
        <f t="shared" si="323"/>
        <v>0.93840385645420465</v>
      </c>
      <c r="I1705" s="11">
        <f>781009-E1705</f>
        <v>728498</v>
      </c>
      <c r="J1705" s="10">
        <f>I1705/781009</f>
        <v>0.93276517940254211</v>
      </c>
    </row>
    <row r="1706" spans="1:11" ht="15.75">
      <c r="A1706" s="34" t="s">
        <v>175</v>
      </c>
      <c r="B1706" s="15">
        <f>SUM(B1701:B1705)</f>
        <v>613849</v>
      </c>
      <c r="C1706" s="33">
        <f>SUM(C1701:C1705)</f>
        <v>81635</v>
      </c>
      <c r="D1706" s="17">
        <f t="shared" si="322"/>
        <v>0.13298873175650688</v>
      </c>
      <c r="E1706" s="18">
        <f>SUM(E1701:E1705)</f>
        <v>354116405</v>
      </c>
      <c r="F1706" s="21">
        <f>E1706/687390741</f>
        <v>0.51516027766804029</v>
      </c>
      <c r="G1706" s="18">
        <f>SUM(G1701:G1705)</f>
        <v>532214</v>
      </c>
      <c r="H1706" s="21">
        <f t="shared" si="323"/>
        <v>0.86701126824349306</v>
      </c>
      <c r="I1706" s="18">
        <f>SUM(I1701:I1705)</f>
        <v>340354549</v>
      </c>
      <c r="J1706" s="21">
        <f>I1706/687390741</f>
        <v>0.49513985088722628</v>
      </c>
    </row>
    <row r="1707" spans="1:11" ht="15.75">
      <c r="A1707" s="1" t="s">
        <v>137</v>
      </c>
      <c r="B1707" s="35"/>
      <c r="C1707" s="18"/>
      <c r="D1707" s="17"/>
      <c r="E1707" s="18"/>
      <c r="F1707" s="21"/>
      <c r="G1707" s="18"/>
      <c r="H1707" s="21"/>
      <c r="I1707" s="18"/>
      <c r="J1707" s="21"/>
      <c r="K1707" s="3" t="s">
        <v>10</v>
      </c>
    </row>
    <row r="1708" spans="1:11" ht="15.75">
      <c r="A1708" s="1" t="s">
        <v>176</v>
      </c>
      <c r="B1708" s="28"/>
      <c r="C1708" s="28" t="s">
        <v>2</v>
      </c>
      <c r="D1708" s="29"/>
      <c r="E1708" s="29"/>
      <c r="F1708" s="30"/>
      <c r="G1708" s="31" t="s">
        <v>3</v>
      </c>
      <c r="H1708" s="30"/>
      <c r="I1708" s="30"/>
      <c r="J1708" s="30"/>
      <c r="K1708" s="3" t="s">
        <v>11</v>
      </c>
    </row>
    <row r="1709" spans="1:11">
      <c r="B1709" s="4" t="s">
        <v>4</v>
      </c>
      <c r="C1709" s="4" t="s">
        <v>5</v>
      </c>
      <c r="D1709" s="4"/>
      <c r="E1709" s="4" t="s">
        <v>6</v>
      </c>
      <c r="F1709" s="5"/>
      <c r="G1709" s="4" t="s">
        <v>7</v>
      </c>
      <c r="H1709" s="5"/>
      <c r="I1709" s="5" t="s">
        <v>6</v>
      </c>
      <c r="J1709" s="5"/>
      <c r="K1709" s="3" t="s">
        <v>12</v>
      </c>
    </row>
    <row r="1710" spans="1:11">
      <c r="B1710" s="4" t="s">
        <v>8</v>
      </c>
      <c r="C1710" s="4" t="s">
        <v>8</v>
      </c>
      <c r="D1710" s="4" t="s">
        <v>9</v>
      </c>
      <c r="E1710" s="4" t="s">
        <v>8</v>
      </c>
      <c r="F1710" s="5" t="s">
        <v>9</v>
      </c>
      <c r="G1710" s="5" t="s">
        <v>8</v>
      </c>
      <c r="H1710" s="5" t="s">
        <v>9</v>
      </c>
      <c r="I1710" s="5" t="s">
        <v>8</v>
      </c>
      <c r="J1710" s="5" t="s">
        <v>9</v>
      </c>
      <c r="K1710" s="3" t="s">
        <v>13</v>
      </c>
    </row>
    <row r="1711" spans="1:11">
      <c r="B1711" s="4"/>
      <c r="C1711" s="4"/>
      <c r="D1711" s="4"/>
      <c r="E1711" s="4"/>
      <c r="F1711" s="4"/>
      <c r="G1711" s="4"/>
      <c r="H1711" s="4"/>
      <c r="I1711" s="4"/>
      <c r="J1711" s="4"/>
    </row>
    <row r="1712" spans="1:11">
      <c r="A1712" s="3" t="s">
        <v>10</v>
      </c>
      <c r="B1712" s="20">
        <v>545236</v>
      </c>
      <c r="C1712" s="7">
        <v>23107</v>
      </c>
      <c r="D1712" s="8">
        <v>0.11749999999999999</v>
      </c>
      <c r="E1712" s="11">
        <v>17174933</v>
      </c>
      <c r="F1712" s="10">
        <f>E1712/319655989</f>
        <v>5.3729426605550003E-2</v>
      </c>
      <c r="G1712" s="11">
        <f>B1712-C1712</f>
        <v>522129</v>
      </c>
      <c r="H1712" s="10">
        <v>0.88249999999999995</v>
      </c>
      <c r="I1712" s="11">
        <v>302481056</v>
      </c>
      <c r="J1712" s="10">
        <f>I1712/319655989</f>
        <v>0.94627057339444998</v>
      </c>
      <c r="K1712" s="22"/>
    </row>
    <row r="1713" spans="1:11" ht="15.75">
      <c r="A1713" s="3" t="s">
        <v>11</v>
      </c>
      <c r="B1713" s="20">
        <v>50372</v>
      </c>
      <c r="C1713" s="7">
        <v>12955</v>
      </c>
      <c r="D1713" s="8">
        <v>0.25419999999999998</v>
      </c>
      <c r="E1713" s="11">
        <v>13920496</v>
      </c>
      <c r="F1713" s="10">
        <f>E1713/45745917</f>
        <v>0.30430029416614385</v>
      </c>
      <c r="G1713" s="11">
        <f>B1713-C1713</f>
        <v>37417</v>
      </c>
      <c r="H1713" s="10">
        <v>0.74580000000000002</v>
      </c>
      <c r="I1713" s="11">
        <v>31825421</v>
      </c>
      <c r="J1713" s="10">
        <v>0.69569999999999999</v>
      </c>
      <c r="K1713" s="1" t="s">
        <v>125</v>
      </c>
    </row>
    <row r="1714" spans="1:11">
      <c r="A1714" s="3" t="s">
        <v>12</v>
      </c>
      <c r="B1714" s="20">
        <v>11927</v>
      </c>
      <c r="C1714" s="7">
        <v>4839</v>
      </c>
      <c r="D1714" s="8">
        <v>0.40260000000000001</v>
      </c>
      <c r="E1714" s="11">
        <v>90510020</v>
      </c>
      <c r="F1714" s="10">
        <f>E1714/157669430</f>
        <v>0.57404926243470278</v>
      </c>
      <c r="G1714" s="11">
        <f>B1714-C1714</f>
        <v>7088</v>
      </c>
      <c r="H1714" s="10">
        <v>0.59740000000000004</v>
      </c>
      <c r="I1714" s="11">
        <v>67159410</v>
      </c>
      <c r="J1714" s="10">
        <v>0.42599999999999999</v>
      </c>
    </row>
    <row r="1715" spans="1:11">
      <c r="A1715" s="3" t="s">
        <v>13</v>
      </c>
      <c r="B1715" s="20">
        <v>430</v>
      </c>
      <c r="C1715" s="7">
        <v>376</v>
      </c>
      <c r="D1715" s="8">
        <v>0.87450000000000006</v>
      </c>
      <c r="E1715" s="11">
        <v>219245081</v>
      </c>
      <c r="F1715" s="10">
        <f>E1715/225377303</f>
        <v>0.97279130631889765</v>
      </c>
      <c r="G1715" s="11">
        <f>B1715-C1715</f>
        <v>54</v>
      </c>
      <c r="H1715" s="10">
        <v>0.1255</v>
      </c>
      <c r="I1715" s="11">
        <v>6132222</v>
      </c>
      <c r="J1715" s="10">
        <v>2.7199999999999998E-2</v>
      </c>
    </row>
    <row r="1716" spans="1:11">
      <c r="A1716" s="3" t="s">
        <v>65</v>
      </c>
      <c r="B1716" s="20">
        <v>5619</v>
      </c>
      <c r="C1716" s="4">
        <v>165</v>
      </c>
      <c r="D1716" s="8">
        <f>C1716/B1716</f>
        <v>2.9364655632674853E-2</v>
      </c>
      <c r="E1716" s="11">
        <v>34498</v>
      </c>
      <c r="F1716" s="10">
        <f>E1716/781279</f>
        <v>4.415580093666923E-2</v>
      </c>
      <c r="G1716" s="11">
        <f>B1716-C1716</f>
        <v>5454</v>
      </c>
      <c r="H1716" s="10">
        <f>G1716/B1716</f>
        <v>0.97063534436732513</v>
      </c>
      <c r="I1716" s="11">
        <v>746781</v>
      </c>
      <c r="J1716" s="10">
        <f>I1716/781279</f>
        <v>0.95584419906333074</v>
      </c>
    </row>
    <row r="1717" spans="1:11" ht="15.75">
      <c r="A1717" s="34" t="s">
        <v>175</v>
      </c>
      <c r="B1717" s="15">
        <f>SUM(B1712:B1716)</f>
        <v>613584</v>
      </c>
      <c r="C1717" s="33">
        <f>SUM(C1712:C1716)</f>
        <v>41442</v>
      </c>
      <c r="D1717" s="17">
        <v>0.13500000000000001</v>
      </c>
      <c r="E1717" s="18">
        <f>SUM(E1712:E1716)</f>
        <v>340885028</v>
      </c>
      <c r="F1717" s="21">
        <f>E1717/761592520</f>
        <v>0.44759503152683272</v>
      </c>
      <c r="G1717" s="18">
        <f>SUM(G1712:G1716)</f>
        <v>572142</v>
      </c>
      <c r="H1717" s="21">
        <v>0.86499999999999999</v>
      </c>
      <c r="I1717" s="18">
        <f>SUM(I1712:I1716)</f>
        <v>408344890</v>
      </c>
      <c r="J1717" s="21">
        <f>I1717/761592520</f>
        <v>0.53617240095792962</v>
      </c>
      <c r="K1717" s="3" t="s">
        <v>10</v>
      </c>
    </row>
    <row r="1718" spans="1:11" ht="15.75">
      <c r="A1718" s="1" t="s">
        <v>137</v>
      </c>
      <c r="B1718" s="35"/>
      <c r="C1718" s="18"/>
      <c r="D1718" s="17"/>
      <c r="E1718" s="18"/>
      <c r="F1718" s="21"/>
      <c r="G1718" s="18"/>
      <c r="H1718" s="21"/>
      <c r="I1718" s="18"/>
      <c r="J1718" s="21"/>
      <c r="K1718" s="3" t="s">
        <v>11</v>
      </c>
    </row>
    <row r="1719" spans="1:11" ht="15.75">
      <c r="A1719" s="1" t="s">
        <v>177</v>
      </c>
      <c r="B1719" s="28"/>
      <c r="C1719" s="28" t="s">
        <v>2</v>
      </c>
      <c r="D1719" s="29"/>
      <c r="E1719" s="29"/>
      <c r="F1719" s="30"/>
      <c r="G1719" s="31" t="s">
        <v>3</v>
      </c>
      <c r="H1719" s="30"/>
      <c r="I1719" s="30"/>
      <c r="J1719" s="30"/>
      <c r="K1719" s="3" t="s">
        <v>12</v>
      </c>
    </row>
    <row r="1720" spans="1:11">
      <c r="B1720" s="4" t="s">
        <v>4</v>
      </c>
      <c r="C1720" s="4" t="s">
        <v>5</v>
      </c>
      <c r="D1720" s="4"/>
      <c r="E1720" s="4" t="s">
        <v>6</v>
      </c>
      <c r="F1720" s="5"/>
      <c r="G1720" s="4" t="s">
        <v>7</v>
      </c>
      <c r="H1720" s="5"/>
      <c r="I1720" s="5" t="s">
        <v>6</v>
      </c>
      <c r="J1720" s="5"/>
      <c r="K1720" s="3" t="s">
        <v>13</v>
      </c>
    </row>
    <row r="1721" spans="1:11">
      <c r="B1721" s="4" t="s">
        <v>8</v>
      </c>
      <c r="C1721" s="4" t="s">
        <v>8</v>
      </c>
      <c r="D1721" s="4" t="s">
        <v>9</v>
      </c>
      <c r="E1721" s="4" t="s">
        <v>8</v>
      </c>
      <c r="F1721" s="5" t="s">
        <v>9</v>
      </c>
      <c r="G1721" s="5" t="s">
        <v>8</v>
      </c>
      <c r="H1721" s="5" t="s">
        <v>9</v>
      </c>
      <c r="I1721" s="5" t="s">
        <v>8</v>
      </c>
      <c r="J1721" s="5" t="s">
        <v>9</v>
      </c>
    </row>
    <row r="1722" spans="1:11">
      <c r="B1722" s="4"/>
      <c r="C1722" s="4"/>
      <c r="D1722" s="4"/>
      <c r="E1722" s="4"/>
      <c r="F1722" s="4"/>
      <c r="G1722" s="4"/>
      <c r="H1722" s="4"/>
      <c r="I1722" s="4"/>
      <c r="J1722" s="4"/>
      <c r="K1722" s="22"/>
    </row>
    <row r="1723" spans="1:11" ht="15.75">
      <c r="A1723" s="3" t="s">
        <v>10</v>
      </c>
      <c r="B1723" s="20">
        <v>545125</v>
      </c>
      <c r="C1723" s="7">
        <v>15585</v>
      </c>
      <c r="D1723" s="8">
        <f t="shared" ref="D1723:D1728" si="324">C1723/B1723</f>
        <v>2.8589772987846825E-2</v>
      </c>
      <c r="E1723" s="11">
        <v>12436826</v>
      </c>
      <c r="F1723" s="10">
        <f>E1723/341215476</f>
        <v>3.6448598832017808E-2</v>
      </c>
      <c r="G1723" s="11">
        <f>B1723-C1723</f>
        <v>529540</v>
      </c>
      <c r="H1723" s="10">
        <v>0.97140000000000004</v>
      </c>
      <c r="I1723" s="11">
        <v>328778650</v>
      </c>
      <c r="J1723" s="10">
        <f>I1723/341215476</f>
        <v>0.96355140116798221</v>
      </c>
      <c r="K1723" s="1" t="s">
        <v>125</v>
      </c>
    </row>
    <row r="1724" spans="1:11">
      <c r="A1724" s="3" t="s">
        <v>11</v>
      </c>
      <c r="B1724" s="20">
        <v>50372</v>
      </c>
      <c r="C1724" s="7">
        <v>12515</v>
      </c>
      <c r="D1724" s="8">
        <f t="shared" si="324"/>
        <v>0.24845152068609544</v>
      </c>
      <c r="E1724" s="11">
        <v>13594656</v>
      </c>
      <c r="F1724" s="10">
        <v>0.29559999999999997</v>
      </c>
      <c r="G1724" s="11">
        <f>B1724-C1724</f>
        <v>37857</v>
      </c>
      <c r="H1724" s="10">
        <v>0.75149999999999995</v>
      </c>
      <c r="I1724" s="11">
        <f>45988776-E1724</f>
        <v>32394120</v>
      </c>
      <c r="J1724" s="10">
        <v>0.70440000000000003</v>
      </c>
    </row>
    <row r="1725" spans="1:11">
      <c r="A1725" s="3" t="s">
        <v>12</v>
      </c>
      <c r="B1725" s="20">
        <v>11933</v>
      </c>
      <c r="C1725" s="7">
        <v>4694</v>
      </c>
      <c r="D1725" s="8">
        <f t="shared" si="324"/>
        <v>0.39336294309896924</v>
      </c>
      <c r="E1725" s="11">
        <v>88670729</v>
      </c>
      <c r="F1725" s="10">
        <v>0.56089999999999995</v>
      </c>
      <c r="G1725" s="11">
        <f>B1725-C1725</f>
        <v>7239</v>
      </c>
      <c r="H1725" s="10">
        <v>0.60660000000000003</v>
      </c>
      <c r="I1725" s="11">
        <f>158088404-E1725</f>
        <v>69417675</v>
      </c>
      <c r="J1725" s="10">
        <v>0.43909999999999999</v>
      </c>
    </row>
    <row r="1726" spans="1:11">
      <c r="A1726" s="3" t="s">
        <v>13</v>
      </c>
      <c r="B1726" s="20">
        <v>428</v>
      </c>
      <c r="C1726" s="7">
        <v>371</v>
      </c>
      <c r="D1726" s="8">
        <f t="shared" si="324"/>
        <v>0.86682242990654201</v>
      </c>
      <c r="E1726" s="11">
        <v>234900931</v>
      </c>
      <c r="F1726" s="10">
        <f>E1726/241370925</f>
        <v>0.97319480794963187</v>
      </c>
      <c r="G1726" s="11">
        <f>B1726-C1726</f>
        <v>57</v>
      </c>
      <c r="H1726" s="10">
        <f>G1726/B1726</f>
        <v>0.13317757009345793</v>
      </c>
      <c r="I1726" s="11">
        <f>241370925-E1726</f>
        <v>6469994</v>
      </c>
      <c r="J1726" s="10">
        <f>I1726/241370925</f>
        <v>2.6805192050368121E-2</v>
      </c>
    </row>
    <row r="1727" spans="1:11">
      <c r="A1727" s="3" t="s">
        <v>65</v>
      </c>
      <c r="B1727" s="20">
        <v>5611</v>
      </c>
      <c r="C1727" s="4">
        <v>136</v>
      </c>
      <c r="D1727" s="8">
        <f t="shared" si="324"/>
        <v>2.4238103724826234E-2</v>
      </c>
      <c r="E1727" s="11">
        <v>33293</v>
      </c>
      <c r="F1727" s="10">
        <f>E1727/782441</f>
        <v>4.2550173112094074E-2</v>
      </c>
      <c r="G1727" s="11">
        <f>B1727-C1727</f>
        <v>5475</v>
      </c>
      <c r="H1727" s="10">
        <f>G1727/B1727</f>
        <v>0.97576189627517373</v>
      </c>
      <c r="I1727" s="11">
        <v>749148</v>
      </c>
      <c r="J1727" s="10">
        <f>I1727/782441</f>
        <v>0.95744982688790592</v>
      </c>
      <c r="K1727" s="3" t="s">
        <v>10</v>
      </c>
    </row>
    <row r="1728" spans="1:11" ht="15.75">
      <c r="A1728" s="34" t="s">
        <v>175</v>
      </c>
      <c r="B1728" s="15">
        <f>SUM(B1723:B1727)</f>
        <v>613469</v>
      </c>
      <c r="C1728" s="33">
        <f>SUM(C1723:C1727)</f>
        <v>33301</v>
      </c>
      <c r="D1728" s="17">
        <f t="shared" si="324"/>
        <v>5.4283101509611735E-2</v>
      </c>
      <c r="E1728" s="18">
        <f>SUM(E1723:E1727)</f>
        <v>349636435</v>
      </c>
      <c r="F1728" s="21">
        <f>E1728/787558841</f>
        <v>0.44394960325256511</v>
      </c>
      <c r="G1728" s="18">
        <f>SUM(G1723:G1727)</f>
        <v>580168</v>
      </c>
      <c r="H1728" s="21">
        <f>G1728/B1728</f>
        <v>0.94571689849038831</v>
      </c>
      <c r="I1728" s="18">
        <f>SUM(I1723:I1727)</f>
        <v>437809587</v>
      </c>
      <c r="J1728" s="21">
        <f>I1728/787558841</f>
        <v>0.55590714522878426</v>
      </c>
      <c r="K1728" s="3" t="s">
        <v>11</v>
      </c>
    </row>
    <row r="1729" spans="1:11" ht="15.75">
      <c r="A1729" s="1" t="s">
        <v>137</v>
      </c>
      <c r="B1729" s="35"/>
      <c r="C1729" s="18"/>
      <c r="D1729" s="17"/>
      <c r="E1729" s="18"/>
      <c r="F1729" s="21"/>
      <c r="G1729" s="18"/>
      <c r="H1729" s="21"/>
      <c r="I1729" s="18"/>
      <c r="J1729" s="21"/>
      <c r="K1729" s="3" t="s">
        <v>12</v>
      </c>
    </row>
    <row r="1730" spans="1:11" ht="16.5" thickBot="1">
      <c r="A1730" s="1" t="s">
        <v>178</v>
      </c>
      <c r="B1730" s="36"/>
      <c r="C1730" s="37" t="s">
        <v>179</v>
      </c>
      <c r="D1730" s="38"/>
      <c r="E1730" s="38"/>
      <c r="F1730" s="39"/>
      <c r="G1730" s="40" t="s">
        <v>180</v>
      </c>
      <c r="H1730" s="41"/>
      <c r="I1730" s="41"/>
      <c r="J1730" s="39"/>
      <c r="K1730" s="3" t="s">
        <v>13</v>
      </c>
    </row>
    <row r="1731" spans="1:11" ht="15.75" thickTop="1">
      <c r="B1731" s="42" t="s">
        <v>4</v>
      </c>
      <c r="C1731" s="43" t="s">
        <v>5</v>
      </c>
      <c r="D1731" s="44"/>
      <c r="E1731" s="43" t="s">
        <v>6</v>
      </c>
      <c r="F1731" s="45"/>
      <c r="G1731" s="43" t="s">
        <v>7</v>
      </c>
      <c r="H1731" s="46"/>
      <c r="I1731" s="47" t="s">
        <v>6</v>
      </c>
      <c r="J1731" s="48"/>
    </row>
    <row r="1732" spans="1:11" ht="15.75" thickBot="1">
      <c r="B1732" s="49" t="s">
        <v>8</v>
      </c>
      <c r="C1732" s="50" t="s">
        <v>8</v>
      </c>
      <c r="D1732" s="51" t="s">
        <v>9</v>
      </c>
      <c r="E1732" s="50" t="s">
        <v>8</v>
      </c>
      <c r="F1732" s="52" t="s">
        <v>9</v>
      </c>
      <c r="G1732" s="53" t="s">
        <v>8</v>
      </c>
      <c r="H1732" s="54" t="s">
        <v>9</v>
      </c>
      <c r="I1732" s="53" t="s">
        <v>8</v>
      </c>
      <c r="J1732" s="55" t="s">
        <v>9</v>
      </c>
      <c r="K1732" s="22"/>
    </row>
    <row r="1733" spans="1:11" ht="16.5" thickTop="1">
      <c r="C1733" s="43"/>
      <c r="E1733" s="57"/>
      <c r="F1733" s="58"/>
      <c r="G1733" s="57"/>
      <c r="I1733" s="57"/>
      <c r="K1733" s="1" t="s">
        <v>125</v>
      </c>
    </row>
    <row r="1734" spans="1:11">
      <c r="A1734" s="3" t="s">
        <v>10</v>
      </c>
      <c r="B1734" s="60">
        <v>538288</v>
      </c>
      <c r="C1734" s="57">
        <v>15863</v>
      </c>
      <c r="D1734" s="61">
        <v>2.9499999999999998E-2</v>
      </c>
      <c r="E1734" s="62">
        <v>403405</v>
      </c>
      <c r="F1734" s="63">
        <v>3.4799999999999998E-2</v>
      </c>
      <c r="G1734" s="62">
        <v>522425</v>
      </c>
      <c r="H1734" s="64">
        <v>0.97050000000000003</v>
      </c>
      <c r="I1734" s="62">
        <v>11191351</v>
      </c>
      <c r="J1734" s="65">
        <v>0.96519999999999995</v>
      </c>
    </row>
    <row r="1735" spans="1:11">
      <c r="A1735" s="3" t="s">
        <v>11</v>
      </c>
      <c r="B1735" s="60">
        <v>49943</v>
      </c>
      <c r="C1735" s="57">
        <v>12367</v>
      </c>
      <c r="D1735" s="61">
        <v>0.24759999999999999</v>
      </c>
      <c r="E1735" s="62">
        <v>400098</v>
      </c>
      <c r="F1735" s="63">
        <v>0.25679999999999997</v>
      </c>
      <c r="G1735" s="62">
        <v>37576</v>
      </c>
      <c r="H1735" s="64">
        <v>0.75239999999999996</v>
      </c>
      <c r="I1735" s="62">
        <v>1158073</v>
      </c>
      <c r="J1735" s="65">
        <v>0.74319999999999997</v>
      </c>
    </row>
    <row r="1736" spans="1:11">
      <c r="A1736" s="3" t="s">
        <v>12</v>
      </c>
      <c r="B1736" s="60">
        <v>11704</v>
      </c>
      <c r="C1736" s="57">
        <v>4551</v>
      </c>
      <c r="D1736" s="61">
        <v>0.38879999999999998</v>
      </c>
      <c r="E1736" s="62">
        <v>2993770</v>
      </c>
      <c r="F1736" s="63">
        <v>0.5615</v>
      </c>
      <c r="G1736" s="62">
        <v>7153</v>
      </c>
      <c r="H1736" s="64">
        <v>0.61119999999999997</v>
      </c>
      <c r="I1736" s="62">
        <v>2338002</v>
      </c>
      <c r="J1736" s="65">
        <v>0.4385</v>
      </c>
    </row>
    <row r="1737" spans="1:11">
      <c r="A1737" s="3" t="s">
        <v>13</v>
      </c>
      <c r="B1737" s="60">
        <v>397</v>
      </c>
      <c r="C1737" s="57">
        <v>341</v>
      </c>
      <c r="D1737" s="61">
        <v>0.8589</v>
      </c>
      <c r="E1737" s="62">
        <v>6239902</v>
      </c>
      <c r="F1737" s="63">
        <v>0.96650000000000003</v>
      </c>
      <c r="G1737" s="62">
        <v>56</v>
      </c>
      <c r="H1737" s="64">
        <v>0.1411</v>
      </c>
      <c r="I1737" s="62">
        <v>216264</v>
      </c>
      <c r="J1737" s="65">
        <v>3.3500000000000002E-2</v>
      </c>
      <c r="K1737" s="3" t="s">
        <v>10</v>
      </c>
    </row>
    <row r="1738" spans="1:11" ht="15.75" thickBot="1">
      <c r="A1738" s="3" t="s">
        <v>181</v>
      </c>
      <c r="B1738" s="60">
        <v>507</v>
      </c>
      <c r="C1738" s="57">
        <v>197</v>
      </c>
      <c r="D1738" s="61">
        <v>0.3886</v>
      </c>
      <c r="E1738" s="62">
        <v>79412</v>
      </c>
      <c r="F1738" s="66">
        <v>0.84970000000000001</v>
      </c>
      <c r="G1738" s="67">
        <v>310</v>
      </c>
      <c r="H1738" s="68">
        <v>0.61140000000000005</v>
      </c>
      <c r="I1738" s="62">
        <v>14051</v>
      </c>
      <c r="J1738" s="65">
        <v>0.15029999999999999</v>
      </c>
      <c r="K1738" s="3" t="s">
        <v>11</v>
      </c>
    </row>
    <row r="1739" spans="1:11" ht="17.25" thickTop="1" thickBot="1">
      <c r="A1739" s="34" t="s">
        <v>175</v>
      </c>
      <c r="B1739" s="69">
        <v>600839</v>
      </c>
      <c r="C1739" s="70">
        <v>33319</v>
      </c>
      <c r="D1739" s="71">
        <v>5.5500000000000001E-2</v>
      </c>
      <c r="E1739" s="72">
        <v>10116587</v>
      </c>
      <c r="F1739" s="73">
        <v>0.40410000000000001</v>
      </c>
      <c r="G1739" s="74">
        <v>567520</v>
      </c>
      <c r="H1739" s="75">
        <v>0.94450000000000001</v>
      </c>
      <c r="I1739" s="74">
        <v>14917742</v>
      </c>
      <c r="J1739" s="76">
        <v>0.59589999999999999</v>
      </c>
      <c r="K1739" s="3" t="s">
        <v>12</v>
      </c>
    </row>
    <row r="1740" spans="1:11" ht="16.5" thickBot="1">
      <c r="A1740" s="1" t="s">
        <v>182</v>
      </c>
      <c r="B1740" s="77"/>
      <c r="C1740" s="78" t="s">
        <v>179</v>
      </c>
      <c r="D1740" s="79"/>
      <c r="E1740" s="79"/>
      <c r="F1740" s="80"/>
      <c r="G1740" s="81" t="s">
        <v>180</v>
      </c>
      <c r="H1740" s="82"/>
      <c r="I1740" s="82"/>
      <c r="J1740" s="80"/>
      <c r="K1740" s="3" t="s">
        <v>13</v>
      </c>
    </row>
    <row r="1741" spans="1:11" ht="15.75" thickTop="1">
      <c r="B1741" s="42" t="s">
        <v>4</v>
      </c>
      <c r="C1741" s="43" t="s">
        <v>5</v>
      </c>
      <c r="D1741" s="44"/>
      <c r="E1741" s="43" t="s">
        <v>6</v>
      </c>
      <c r="F1741" s="45"/>
      <c r="G1741" s="43" t="s">
        <v>7</v>
      </c>
      <c r="H1741" s="46"/>
      <c r="I1741" s="47" t="s">
        <v>6</v>
      </c>
      <c r="J1741" s="48"/>
    </row>
    <row r="1742" spans="1:11" ht="15.75" thickBot="1">
      <c r="B1742" s="49" t="s">
        <v>8</v>
      </c>
      <c r="C1742" s="50" t="s">
        <v>8</v>
      </c>
      <c r="D1742" s="51" t="s">
        <v>9</v>
      </c>
      <c r="E1742" s="50" t="s">
        <v>8</v>
      </c>
      <c r="F1742" s="52" t="s">
        <v>9</v>
      </c>
      <c r="G1742" s="53" t="s">
        <v>8</v>
      </c>
      <c r="H1742" s="54" t="s">
        <v>9</v>
      </c>
      <c r="I1742" s="53" t="s">
        <v>8</v>
      </c>
      <c r="J1742" s="55" t="s">
        <v>9</v>
      </c>
      <c r="K1742" s="22"/>
    </row>
    <row r="1743" spans="1:11" ht="16.5" thickTop="1">
      <c r="C1743" s="43"/>
      <c r="E1743" s="57"/>
      <c r="F1743" s="58"/>
      <c r="G1743" s="57"/>
      <c r="I1743" s="57"/>
      <c r="K1743" s="1" t="s">
        <v>125</v>
      </c>
    </row>
    <row r="1744" spans="1:11">
      <c r="A1744" s="3" t="s">
        <v>10</v>
      </c>
      <c r="B1744" s="60">
        <v>537580</v>
      </c>
      <c r="C1744" s="57">
        <v>6684</v>
      </c>
      <c r="D1744" s="61">
        <v>1.24E-2</v>
      </c>
      <c r="E1744" s="62">
        <v>137598</v>
      </c>
      <c r="F1744" s="63">
        <v>1.43E-2</v>
      </c>
      <c r="G1744" s="62">
        <v>530896</v>
      </c>
      <c r="H1744" s="64">
        <v>0.98760000000000003</v>
      </c>
      <c r="I1744" s="62">
        <v>9460061</v>
      </c>
      <c r="J1744" s="65">
        <v>0.98570000000000002</v>
      </c>
    </row>
    <row r="1745" spans="1:11">
      <c r="A1745" s="3" t="s">
        <v>11</v>
      </c>
      <c r="B1745" s="60">
        <v>49932</v>
      </c>
      <c r="C1745" s="57">
        <v>11538</v>
      </c>
      <c r="D1745" s="61">
        <v>0.2311</v>
      </c>
      <c r="E1745" s="62">
        <v>321984</v>
      </c>
      <c r="F1745" s="63">
        <v>0.2424</v>
      </c>
      <c r="G1745" s="62">
        <v>38394</v>
      </c>
      <c r="H1745" s="64">
        <v>0.76890000000000003</v>
      </c>
      <c r="I1745" s="62">
        <v>1006415</v>
      </c>
      <c r="J1745" s="65">
        <v>0.75760000000000005</v>
      </c>
    </row>
    <row r="1746" spans="1:11">
      <c r="A1746" s="3" t="s">
        <v>12</v>
      </c>
      <c r="B1746" s="60">
        <v>11711</v>
      </c>
      <c r="C1746" s="57">
        <v>4400</v>
      </c>
      <c r="D1746" s="61">
        <v>0.37569999999999998</v>
      </c>
      <c r="E1746" s="62">
        <v>2789696</v>
      </c>
      <c r="F1746" s="63">
        <v>0.55430000000000001</v>
      </c>
      <c r="G1746" s="62">
        <v>7311</v>
      </c>
      <c r="H1746" s="64">
        <v>0.62429999999999997</v>
      </c>
      <c r="I1746" s="62">
        <v>2242857</v>
      </c>
      <c r="J1746" s="65">
        <v>0.44569999999999999</v>
      </c>
    </row>
    <row r="1747" spans="1:11">
      <c r="A1747" s="3" t="s">
        <v>13</v>
      </c>
      <c r="B1747" s="60">
        <v>394</v>
      </c>
      <c r="C1747" s="57">
        <v>335</v>
      </c>
      <c r="D1747" s="61">
        <v>0.85029999999999994</v>
      </c>
      <c r="E1747" s="62">
        <v>5935904</v>
      </c>
      <c r="F1747" s="63">
        <v>0.96409999999999996</v>
      </c>
      <c r="G1747" s="62">
        <v>59</v>
      </c>
      <c r="H1747" s="64">
        <v>0.1497</v>
      </c>
      <c r="I1747" s="62">
        <v>221218</v>
      </c>
      <c r="J1747" s="65">
        <v>3.5900000000000001E-2</v>
      </c>
      <c r="K1747" s="3" t="s">
        <v>10</v>
      </c>
    </row>
    <row r="1748" spans="1:11" ht="15.75" thickBot="1">
      <c r="A1748" s="3" t="s">
        <v>181</v>
      </c>
      <c r="B1748" s="60">
        <v>490</v>
      </c>
      <c r="C1748" s="57">
        <v>168</v>
      </c>
      <c r="D1748" s="61">
        <v>0.34289999999999998</v>
      </c>
      <c r="E1748" s="62">
        <v>92130</v>
      </c>
      <c r="F1748" s="66">
        <v>0.85229999999999995</v>
      </c>
      <c r="G1748" s="67">
        <v>322</v>
      </c>
      <c r="H1748" s="68">
        <v>0.65710000000000002</v>
      </c>
      <c r="I1748" s="62">
        <v>15967</v>
      </c>
      <c r="J1748" s="65">
        <v>0.1477</v>
      </c>
      <c r="K1748" s="3" t="s">
        <v>11</v>
      </c>
    </row>
    <row r="1749" spans="1:11" ht="17.25" thickTop="1" thickBot="1">
      <c r="A1749" s="34" t="s">
        <v>175</v>
      </c>
      <c r="B1749" s="69">
        <v>600107</v>
      </c>
      <c r="C1749" s="70">
        <v>23125</v>
      </c>
      <c r="D1749" s="71">
        <v>3.85E-2</v>
      </c>
      <c r="E1749" s="72">
        <v>9277313</v>
      </c>
      <c r="F1749" s="73">
        <v>0.41739999999999999</v>
      </c>
      <c r="G1749" s="74">
        <v>576982</v>
      </c>
      <c r="H1749" s="75">
        <v>0.96150000000000002</v>
      </c>
      <c r="I1749" s="74">
        <v>12946518</v>
      </c>
      <c r="J1749" s="76">
        <v>0.58260000000000001</v>
      </c>
      <c r="K1749" s="3" t="s">
        <v>12</v>
      </c>
    </row>
    <row r="1750" spans="1:11" ht="16.5" thickBot="1">
      <c r="A1750" s="1" t="s">
        <v>183</v>
      </c>
      <c r="B1750" s="77"/>
      <c r="C1750" s="78" t="s">
        <v>179</v>
      </c>
      <c r="D1750" s="79"/>
      <c r="E1750" s="79"/>
      <c r="F1750" s="80"/>
      <c r="G1750" s="81" t="s">
        <v>180</v>
      </c>
      <c r="H1750" s="82"/>
      <c r="I1750" s="82"/>
      <c r="J1750" s="80"/>
      <c r="K1750" s="3" t="s">
        <v>13</v>
      </c>
    </row>
    <row r="1751" spans="1:11" ht="15.75" thickTop="1">
      <c r="B1751" s="42" t="s">
        <v>4</v>
      </c>
      <c r="C1751" s="43" t="s">
        <v>5</v>
      </c>
      <c r="D1751" s="44"/>
      <c r="E1751" s="43" t="s">
        <v>6</v>
      </c>
      <c r="F1751" s="45"/>
      <c r="G1751" s="43" t="s">
        <v>7</v>
      </c>
      <c r="H1751" s="46"/>
      <c r="I1751" s="47" t="s">
        <v>6</v>
      </c>
      <c r="J1751" s="48"/>
    </row>
    <row r="1752" spans="1:11" ht="15.75" thickBot="1">
      <c r="B1752" s="49" t="s">
        <v>8</v>
      </c>
      <c r="C1752" s="50" t="s">
        <v>8</v>
      </c>
      <c r="D1752" s="51" t="s">
        <v>9</v>
      </c>
      <c r="E1752" s="50" t="s">
        <v>8</v>
      </c>
      <c r="F1752" s="52" t="s">
        <v>9</v>
      </c>
      <c r="G1752" s="53" t="s">
        <v>8</v>
      </c>
      <c r="H1752" s="54" t="s">
        <v>9</v>
      </c>
      <c r="I1752" s="53" t="s">
        <v>8</v>
      </c>
      <c r="J1752" s="55" t="s">
        <v>9</v>
      </c>
      <c r="K1752" s="22"/>
    </row>
    <row r="1753" spans="1:11" ht="16.5" thickTop="1">
      <c r="C1753" s="43"/>
      <c r="E1753" s="57"/>
      <c r="F1753" s="58"/>
      <c r="G1753" s="57"/>
      <c r="I1753" s="57"/>
      <c r="K1753" s="1" t="s">
        <v>125</v>
      </c>
    </row>
    <row r="1754" spans="1:11">
      <c r="A1754" s="3" t="s">
        <v>10</v>
      </c>
      <c r="B1754" s="60">
        <v>537329</v>
      </c>
      <c r="C1754" s="57">
        <v>4218</v>
      </c>
      <c r="D1754" s="61">
        <v>7.8499392364826757E-3</v>
      </c>
      <c r="E1754" s="62">
        <v>86095.556784285713</v>
      </c>
      <c r="F1754" s="63">
        <v>9.570216866700695E-3</v>
      </c>
      <c r="G1754" s="62">
        <v>533111</v>
      </c>
      <c r="H1754" s="64">
        <v>0.99215006076351731</v>
      </c>
      <c r="I1754" s="62">
        <v>8910101.497417571</v>
      </c>
      <c r="J1754" s="65">
        <v>0.99042978313329932</v>
      </c>
    </row>
    <row r="1755" spans="1:11">
      <c r="A1755" s="3" t="s">
        <v>11</v>
      </c>
      <c r="B1755" s="60">
        <v>49986</v>
      </c>
      <c r="C1755" s="57">
        <v>11295</v>
      </c>
      <c r="D1755" s="61">
        <v>0.22596326971552036</v>
      </c>
      <c r="E1755" s="62">
        <v>325125.0770652857</v>
      </c>
      <c r="F1755" s="63">
        <v>0.23436445961115102</v>
      </c>
      <c r="G1755" s="62">
        <v>38691</v>
      </c>
      <c r="H1755" s="64">
        <v>0.77403673028447961</v>
      </c>
      <c r="I1755" s="62">
        <v>1062137.6401774285</v>
      </c>
      <c r="J1755" s="65">
        <v>0.76563554038884896</v>
      </c>
    </row>
    <row r="1756" spans="1:11">
      <c r="A1756" s="3" t="s">
        <v>12</v>
      </c>
      <c r="B1756" s="60">
        <v>11667</v>
      </c>
      <c r="C1756" s="57">
        <v>4376</v>
      </c>
      <c r="D1756" s="61">
        <v>0.37507499785720411</v>
      </c>
      <c r="E1756" s="62">
        <v>2993943.1765647144</v>
      </c>
      <c r="F1756" s="63">
        <v>0.54407163402356806</v>
      </c>
      <c r="G1756" s="62">
        <v>7291</v>
      </c>
      <c r="H1756" s="64">
        <v>0.62492500214279589</v>
      </c>
      <c r="I1756" s="62">
        <v>2508904.2231860003</v>
      </c>
      <c r="J1756" s="65">
        <v>0.45592836597643183</v>
      </c>
    </row>
    <row r="1757" spans="1:11">
      <c r="A1757" s="3" t="s">
        <v>13</v>
      </c>
      <c r="B1757" s="60">
        <v>395</v>
      </c>
      <c r="C1757" s="57">
        <v>335</v>
      </c>
      <c r="D1757" s="61">
        <v>0.84810126582278478</v>
      </c>
      <c r="E1757" s="62">
        <v>7637467.9123625709</v>
      </c>
      <c r="F1757" s="63">
        <v>0.9580758024460112</v>
      </c>
      <c r="G1757" s="62">
        <v>60</v>
      </c>
      <c r="H1757" s="64">
        <v>0.15189873417721519</v>
      </c>
      <c r="I1757" s="62">
        <v>334206.03333542857</v>
      </c>
      <c r="J1757" s="65">
        <v>4.192419755398883E-2</v>
      </c>
      <c r="K1757" s="3" t="s">
        <v>10</v>
      </c>
    </row>
    <row r="1758" spans="1:11" ht="15.75" thickBot="1">
      <c r="A1758" s="3" t="s">
        <v>181</v>
      </c>
      <c r="B1758" s="60">
        <v>493</v>
      </c>
      <c r="C1758" s="57">
        <v>168</v>
      </c>
      <c r="D1758" s="61">
        <v>0.34077079107505071</v>
      </c>
      <c r="E1758" s="62">
        <v>78833.410129428579</v>
      </c>
      <c r="F1758" s="66">
        <v>0.84617376660305021</v>
      </c>
      <c r="G1758" s="67">
        <v>325</v>
      </c>
      <c r="H1758" s="68">
        <v>0.65922920892494929</v>
      </c>
      <c r="I1758" s="62">
        <v>14331.15398357143</v>
      </c>
      <c r="J1758" s="65">
        <v>0.15382623339694976</v>
      </c>
      <c r="K1758" s="3" t="s">
        <v>11</v>
      </c>
    </row>
    <row r="1759" spans="1:11" ht="17.25" thickTop="1" thickBot="1">
      <c r="A1759" s="34" t="s">
        <v>175</v>
      </c>
      <c r="B1759" s="69">
        <v>599870</v>
      </c>
      <c r="C1759" s="70">
        <v>20392</v>
      </c>
      <c r="D1759" s="71">
        <v>3.3994032040275395E-2</v>
      </c>
      <c r="E1759" s="72">
        <v>11121465.132906284</v>
      </c>
      <c r="F1759" s="73">
        <v>0.46433958863712393</v>
      </c>
      <c r="G1759" s="74">
        <v>579478</v>
      </c>
      <c r="H1759" s="75">
        <v>0.9660059679597246</v>
      </c>
      <c r="I1759" s="74">
        <v>12829680.548099998</v>
      </c>
      <c r="J1759" s="76">
        <v>0.53566041136287612</v>
      </c>
      <c r="K1759" s="3" t="s">
        <v>12</v>
      </c>
    </row>
    <row r="1760" spans="1:11" ht="16.5" thickBot="1">
      <c r="A1760" s="1" t="s">
        <v>184</v>
      </c>
      <c r="B1760" s="77"/>
      <c r="C1760" s="78" t="s">
        <v>179</v>
      </c>
      <c r="D1760" s="79"/>
      <c r="E1760" s="79"/>
      <c r="F1760" s="80"/>
      <c r="G1760" s="81" t="s">
        <v>180</v>
      </c>
      <c r="H1760" s="82"/>
      <c r="I1760" s="82"/>
      <c r="J1760" s="80"/>
      <c r="K1760" s="3" t="s">
        <v>13</v>
      </c>
    </row>
    <row r="1761" spans="1:11" ht="15.75" thickTop="1">
      <c r="B1761" s="42" t="s">
        <v>4</v>
      </c>
      <c r="C1761" s="43" t="s">
        <v>5</v>
      </c>
      <c r="D1761" s="44"/>
      <c r="E1761" s="43" t="s">
        <v>6</v>
      </c>
      <c r="F1761" s="45"/>
      <c r="G1761" s="43" t="s">
        <v>7</v>
      </c>
      <c r="H1761" s="46"/>
      <c r="I1761" s="47" t="s">
        <v>6</v>
      </c>
      <c r="J1761" s="48"/>
    </row>
    <row r="1762" spans="1:11" ht="15.75" thickBot="1">
      <c r="B1762" s="49" t="s">
        <v>8</v>
      </c>
      <c r="C1762" s="50" t="s">
        <v>8</v>
      </c>
      <c r="D1762" s="51" t="s">
        <v>9</v>
      </c>
      <c r="E1762" s="50" t="s">
        <v>8</v>
      </c>
      <c r="F1762" s="52" t="s">
        <v>9</v>
      </c>
      <c r="G1762" s="53" t="s">
        <v>8</v>
      </c>
      <c r="H1762" s="54" t="s">
        <v>9</v>
      </c>
      <c r="I1762" s="53" t="s">
        <v>8</v>
      </c>
      <c r="J1762" s="55" t="s">
        <v>9</v>
      </c>
      <c r="K1762" s="22"/>
    </row>
    <row r="1763" spans="1:11" ht="16.5" thickTop="1">
      <c r="C1763" s="43"/>
      <c r="E1763" s="57"/>
      <c r="F1763" s="58"/>
      <c r="G1763" s="57"/>
      <c r="I1763" s="57"/>
      <c r="K1763" s="1" t="s">
        <v>125</v>
      </c>
    </row>
    <row r="1764" spans="1:11">
      <c r="A1764" s="3" t="s">
        <v>10</v>
      </c>
      <c r="B1764" s="60">
        <v>537421</v>
      </c>
      <c r="C1764" s="57">
        <v>3383</v>
      </c>
      <c r="D1764" s="61">
        <v>6.3E-3</v>
      </c>
      <c r="E1764" s="62">
        <v>66566</v>
      </c>
      <c r="F1764" s="63">
        <v>7.7999999999999996E-3</v>
      </c>
      <c r="G1764" s="62">
        <v>534038</v>
      </c>
      <c r="H1764" s="64">
        <v>0.99370000000000003</v>
      </c>
      <c r="I1764" s="62">
        <v>8521603</v>
      </c>
      <c r="J1764" s="65">
        <v>0.99219999999999997</v>
      </c>
    </row>
    <row r="1765" spans="1:11">
      <c r="A1765" s="3" t="s">
        <v>11</v>
      </c>
      <c r="B1765" s="60">
        <v>50104</v>
      </c>
      <c r="C1765" s="57">
        <v>11256</v>
      </c>
      <c r="D1765" s="61">
        <v>0.22470000000000001</v>
      </c>
      <c r="E1765" s="62">
        <v>320986</v>
      </c>
      <c r="F1765" s="63">
        <v>0.22389999999999999</v>
      </c>
      <c r="G1765" s="62">
        <v>38848</v>
      </c>
      <c r="H1765" s="64">
        <v>0.77529999999999999</v>
      </c>
      <c r="I1765" s="62">
        <v>1112466</v>
      </c>
      <c r="J1765" s="65">
        <v>0.77610000000000001</v>
      </c>
    </row>
    <row r="1766" spans="1:11">
      <c r="A1766" s="3" t="s">
        <v>12</v>
      </c>
      <c r="B1766" s="60">
        <v>11650</v>
      </c>
      <c r="C1766" s="57">
        <v>4381</v>
      </c>
      <c r="D1766" s="61">
        <v>0.37609999999999999</v>
      </c>
      <c r="E1766" s="62">
        <v>2952111</v>
      </c>
      <c r="F1766" s="63">
        <v>0.53139999999999998</v>
      </c>
      <c r="G1766" s="62">
        <v>7269</v>
      </c>
      <c r="H1766" s="64">
        <v>0.62390000000000001</v>
      </c>
      <c r="I1766" s="62">
        <v>2602735</v>
      </c>
      <c r="J1766" s="65">
        <v>0.46860000000000002</v>
      </c>
    </row>
    <row r="1767" spans="1:11">
      <c r="A1767" s="3" t="s">
        <v>13</v>
      </c>
      <c r="B1767" s="60">
        <v>395</v>
      </c>
      <c r="C1767" s="57">
        <v>333</v>
      </c>
      <c r="D1767" s="61">
        <v>0.84299999999999997</v>
      </c>
      <c r="E1767" s="62">
        <v>7169187</v>
      </c>
      <c r="F1767" s="63">
        <v>0.9486</v>
      </c>
      <c r="G1767" s="62">
        <v>62</v>
      </c>
      <c r="H1767" s="64">
        <v>0.157</v>
      </c>
      <c r="I1767" s="62">
        <v>388541</v>
      </c>
      <c r="J1767" s="65">
        <v>5.1400000000000001E-2</v>
      </c>
      <c r="K1767" s="3" t="s">
        <v>10</v>
      </c>
    </row>
    <row r="1768" spans="1:11" ht="15.75" thickBot="1">
      <c r="A1768" s="3" t="s">
        <v>181</v>
      </c>
      <c r="B1768" s="60">
        <v>494</v>
      </c>
      <c r="C1768" s="57">
        <v>168</v>
      </c>
      <c r="D1768" s="61">
        <v>0.34010000000000001</v>
      </c>
      <c r="E1768" s="62">
        <v>53467</v>
      </c>
      <c r="F1768" s="66">
        <v>0.84409999999999996</v>
      </c>
      <c r="G1768" s="67">
        <v>326</v>
      </c>
      <c r="H1768" s="68">
        <v>0.65990000000000004</v>
      </c>
      <c r="I1768" s="62">
        <v>9872</v>
      </c>
      <c r="J1768" s="65">
        <v>0.15590000000000001</v>
      </c>
      <c r="K1768" s="3" t="s">
        <v>11</v>
      </c>
    </row>
    <row r="1769" spans="1:11" ht="17.25" thickTop="1" thickBot="1">
      <c r="A1769" s="34" t="s">
        <v>175</v>
      </c>
      <c r="B1769" s="69">
        <v>600064</v>
      </c>
      <c r="C1769" s="70">
        <v>19521</v>
      </c>
      <c r="D1769" s="71">
        <v>3.2500000000000001E-2</v>
      </c>
      <c r="E1769" s="72">
        <v>10562317</v>
      </c>
      <c r="F1769" s="73">
        <v>0.45529999999999998</v>
      </c>
      <c r="G1769" s="74">
        <v>580543</v>
      </c>
      <c r="H1769" s="75">
        <v>0.96750000000000003</v>
      </c>
      <c r="I1769" s="74">
        <v>12635217</v>
      </c>
      <c r="J1769" s="76">
        <v>0.54469999999999996</v>
      </c>
      <c r="K1769" s="3" t="s">
        <v>12</v>
      </c>
    </row>
    <row r="1770" spans="1:11" ht="16.5" thickBot="1">
      <c r="A1770" s="1" t="s">
        <v>185</v>
      </c>
      <c r="B1770" s="77"/>
      <c r="C1770" s="78" t="s">
        <v>179</v>
      </c>
      <c r="D1770" s="79"/>
      <c r="E1770" s="79"/>
      <c r="F1770" s="80"/>
      <c r="G1770" s="81" t="s">
        <v>180</v>
      </c>
      <c r="H1770" s="82"/>
      <c r="I1770" s="82"/>
      <c r="J1770" s="80"/>
      <c r="K1770" s="3" t="s">
        <v>13</v>
      </c>
    </row>
    <row r="1771" spans="1:11" ht="15.75" thickTop="1">
      <c r="B1771" s="42" t="s">
        <v>4</v>
      </c>
      <c r="C1771" s="43" t="s">
        <v>5</v>
      </c>
      <c r="D1771" s="44"/>
      <c r="E1771" s="43" t="s">
        <v>6</v>
      </c>
      <c r="F1771" s="45"/>
      <c r="G1771" s="43" t="s">
        <v>7</v>
      </c>
      <c r="H1771" s="46"/>
      <c r="I1771" s="47" t="s">
        <v>6</v>
      </c>
      <c r="J1771" s="48"/>
    </row>
    <row r="1772" spans="1:11" ht="15.75" thickBot="1">
      <c r="B1772" s="49" t="s">
        <v>8</v>
      </c>
      <c r="C1772" s="50" t="s">
        <v>8</v>
      </c>
      <c r="D1772" s="51" t="s">
        <v>9</v>
      </c>
      <c r="E1772" s="50" t="s">
        <v>8</v>
      </c>
      <c r="F1772" s="52" t="s">
        <v>9</v>
      </c>
      <c r="G1772" s="53" t="s">
        <v>8</v>
      </c>
      <c r="H1772" s="54" t="s">
        <v>9</v>
      </c>
      <c r="I1772" s="53" t="s">
        <v>8</v>
      </c>
      <c r="J1772" s="55" t="s">
        <v>9</v>
      </c>
      <c r="K1772" s="22"/>
    </row>
    <row r="1773" spans="1:11" ht="16.5" thickTop="1">
      <c r="C1773" s="43"/>
      <c r="E1773" s="57"/>
      <c r="F1773" s="58"/>
      <c r="G1773" s="57"/>
      <c r="I1773" s="57"/>
      <c r="K1773" s="1" t="s">
        <v>125</v>
      </c>
    </row>
    <row r="1774" spans="1:11">
      <c r="A1774" s="3" t="s">
        <v>10</v>
      </c>
      <c r="B1774" s="60">
        <v>537388</v>
      </c>
      <c r="C1774" s="57">
        <v>2688</v>
      </c>
      <c r="D1774" s="61">
        <v>5.0000000000000001E-3</v>
      </c>
      <c r="E1774" s="62">
        <v>55402</v>
      </c>
      <c r="F1774" s="63">
        <v>6.0000000000000001E-3</v>
      </c>
      <c r="G1774" s="62">
        <v>534700</v>
      </c>
      <c r="H1774" s="64">
        <v>0.995</v>
      </c>
      <c r="I1774" s="62">
        <v>9158439</v>
      </c>
      <c r="J1774" s="65">
        <v>0.99399999999999999</v>
      </c>
    </row>
    <row r="1775" spans="1:11">
      <c r="A1775" s="3" t="s">
        <v>11</v>
      </c>
      <c r="B1775" s="60">
        <v>50103</v>
      </c>
      <c r="C1775" s="57">
        <v>11183</v>
      </c>
      <c r="D1775" s="61">
        <v>0.22320000000000001</v>
      </c>
      <c r="E1775" s="62">
        <v>317984</v>
      </c>
      <c r="F1775" s="63">
        <v>0.21440000000000001</v>
      </c>
      <c r="G1775" s="62">
        <v>38920</v>
      </c>
      <c r="H1775" s="64">
        <v>0.77680000000000005</v>
      </c>
      <c r="I1775" s="62">
        <v>1165287</v>
      </c>
      <c r="J1775" s="65">
        <v>0.78559999999999997</v>
      </c>
    </row>
    <row r="1776" spans="1:11">
      <c r="A1776" s="3" t="s">
        <v>12</v>
      </c>
      <c r="B1776" s="60">
        <v>11659</v>
      </c>
      <c r="C1776" s="57">
        <v>4379</v>
      </c>
      <c r="D1776" s="61">
        <v>0.37559999999999999</v>
      </c>
      <c r="E1776" s="62">
        <v>2923498</v>
      </c>
      <c r="F1776" s="63">
        <v>0.52439999999999998</v>
      </c>
      <c r="G1776" s="62">
        <v>7280</v>
      </c>
      <c r="H1776" s="64">
        <v>0.62439999999999996</v>
      </c>
      <c r="I1776" s="62">
        <v>2651715</v>
      </c>
      <c r="J1776" s="65">
        <v>0.47560000000000002</v>
      </c>
    </row>
    <row r="1777" spans="1:11">
      <c r="A1777" s="3" t="s">
        <v>13</v>
      </c>
      <c r="B1777" s="60">
        <v>395</v>
      </c>
      <c r="C1777" s="57">
        <v>334</v>
      </c>
      <c r="D1777" s="61">
        <v>0.84560000000000002</v>
      </c>
      <c r="E1777" s="62">
        <v>6981150</v>
      </c>
      <c r="F1777" s="63">
        <v>0.95230000000000004</v>
      </c>
      <c r="G1777" s="62">
        <v>61</v>
      </c>
      <c r="H1777" s="64">
        <v>0.15440000000000001</v>
      </c>
      <c r="I1777" s="62">
        <v>349884</v>
      </c>
      <c r="J1777" s="65">
        <v>4.7699999999999999E-2</v>
      </c>
      <c r="K1777" s="3" t="s">
        <v>10</v>
      </c>
    </row>
    <row r="1778" spans="1:11" ht="15.75" thickBot="1">
      <c r="A1778" s="3" t="s">
        <v>181</v>
      </c>
      <c r="B1778" s="60">
        <v>494</v>
      </c>
      <c r="C1778" s="57">
        <v>168</v>
      </c>
      <c r="D1778" s="61">
        <v>0.34010000000000001</v>
      </c>
      <c r="E1778" s="62">
        <v>44323</v>
      </c>
      <c r="F1778" s="66">
        <v>0.84409999999999996</v>
      </c>
      <c r="G1778" s="67">
        <v>326</v>
      </c>
      <c r="H1778" s="68">
        <v>0.65990000000000004</v>
      </c>
      <c r="I1778" s="62">
        <v>8185</v>
      </c>
      <c r="J1778" s="65">
        <v>0.15590000000000001</v>
      </c>
      <c r="K1778" s="3" t="s">
        <v>11</v>
      </c>
    </row>
    <row r="1779" spans="1:11" ht="17.25" thickTop="1" thickBot="1">
      <c r="A1779" s="34" t="s">
        <v>175</v>
      </c>
      <c r="B1779" s="69">
        <v>600039</v>
      </c>
      <c r="C1779" s="70">
        <v>18752</v>
      </c>
      <c r="D1779" s="71">
        <v>3.1300000000000001E-2</v>
      </c>
      <c r="E1779" s="72">
        <v>10322357</v>
      </c>
      <c r="F1779" s="73">
        <v>0.43640000000000001</v>
      </c>
      <c r="G1779" s="74">
        <v>581287</v>
      </c>
      <c r="H1779" s="75">
        <v>0.96870000000000001</v>
      </c>
      <c r="I1779" s="74">
        <v>13333508</v>
      </c>
      <c r="J1779" s="76">
        <v>0.56359999999999999</v>
      </c>
      <c r="K1779" s="3" t="s">
        <v>12</v>
      </c>
    </row>
    <row r="1780" spans="1:11" ht="16.5" thickBot="1">
      <c r="A1780" s="1" t="s">
        <v>186</v>
      </c>
      <c r="B1780" s="77"/>
      <c r="C1780" s="78" t="s">
        <v>179</v>
      </c>
      <c r="D1780" s="79"/>
      <c r="E1780" s="79"/>
      <c r="F1780" s="80"/>
      <c r="G1780" s="81" t="s">
        <v>180</v>
      </c>
      <c r="H1780" s="82"/>
      <c r="I1780" s="82"/>
      <c r="J1780" s="80"/>
      <c r="K1780" s="3" t="s">
        <v>13</v>
      </c>
    </row>
    <row r="1781" spans="1:11" ht="15.75" thickTop="1">
      <c r="B1781" s="42" t="s">
        <v>4</v>
      </c>
      <c r="C1781" s="43" t="s">
        <v>5</v>
      </c>
      <c r="D1781" s="44"/>
      <c r="E1781" s="43" t="s">
        <v>6</v>
      </c>
      <c r="F1781" s="45"/>
      <c r="G1781" s="43" t="s">
        <v>7</v>
      </c>
      <c r="H1781" s="46"/>
      <c r="I1781" s="47" t="s">
        <v>6</v>
      </c>
      <c r="J1781" s="48"/>
    </row>
    <row r="1782" spans="1:11" ht="15.75" thickBot="1">
      <c r="B1782" s="49" t="s">
        <v>8</v>
      </c>
      <c r="C1782" s="50" t="s">
        <v>8</v>
      </c>
      <c r="D1782" s="51" t="s">
        <v>9</v>
      </c>
      <c r="E1782" s="50" t="s">
        <v>8</v>
      </c>
      <c r="F1782" s="52" t="s">
        <v>9</v>
      </c>
      <c r="G1782" s="53" t="s">
        <v>8</v>
      </c>
      <c r="H1782" s="54" t="s">
        <v>9</v>
      </c>
      <c r="I1782" s="53" t="s">
        <v>8</v>
      </c>
      <c r="J1782" s="55" t="s">
        <v>9</v>
      </c>
      <c r="K1782" s="22"/>
    </row>
    <row r="1783" spans="1:11" ht="16.5" thickTop="1">
      <c r="C1783" s="43"/>
      <c r="E1783" s="57"/>
      <c r="F1783" s="58"/>
      <c r="G1783" s="57"/>
      <c r="I1783" s="57"/>
      <c r="K1783" s="1" t="s">
        <v>125</v>
      </c>
    </row>
    <row r="1784" spans="1:11">
      <c r="A1784" s="3" t="s">
        <v>10</v>
      </c>
      <c r="B1784" s="60">
        <v>537290</v>
      </c>
      <c r="C1784" s="57">
        <v>2556</v>
      </c>
      <c r="D1784" s="61">
        <v>4.7999999999999996E-3</v>
      </c>
      <c r="E1784" s="62">
        <v>56057</v>
      </c>
      <c r="F1784" s="63">
        <v>5.4000000000000003E-3</v>
      </c>
      <c r="G1784" s="62">
        <v>534794</v>
      </c>
      <c r="H1784" s="64">
        <v>0.99519999999999997</v>
      </c>
      <c r="I1784" s="62">
        <v>10351402</v>
      </c>
      <c r="J1784" s="65">
        <v>0.99460000000000004</v>
      </c>
    </row>
    <row r="1785" spans="1:11">
      <c r="A1785" s="3" t="s">
        <v>11</v>
      </c>
      <c r="B1785" s="60">
        <v>50065</v>
      </c>
      <c r="C1785" s="57">
        <v>11164</v>
      </c>
      <c r="D1785" s="61">
        <v>0.223</v>
      </c>
      <c r="E1785" s="62">
        <v>359394</v>
      </c>
      <c r="F1785" s="63">
        <v>0.2213</v>
      </c>
      <c r="G1785" s="62">
        <v>38901</v>
      </c>
      <c r="H1785" s="64">
        <v>0.77700000000000002</v>
      </c>
      <c r="I1785" s="62">
        <v>1264803</v>
      </c>
      <c r="J1785" s="65">
        <v>0.77869999999999995</v>
      </c>
    </row>
    <row r="1786" spans="1:11">
      <c r="A1786" s="3" t="s">
        <v>12</v>
      </c>
      <c r="B1786" s="60">
        <v>11672</v>
      </c>
      <c r="C1786" s="57">
        <v>4400</v>
      </c>
      <c r="D1786" s="61">
        <v>0.377</v>
      </c>
      <c r="E1786" s="62">
        <v>3162456</v>
      </c>
      <c r="F1786" s="63">
        <v>0.53600000000000003</v>
      </c>
      <c r="G1786" s="62">
        <v>7272</v>
      </c>
      <c r="H1786" s="64">
        <v>0.623</v>
      </c>
      <c r="I1786" s="62">
        <v>2737918</v>
      </c>
      <c r="J1786" s="65">
        <v>0.46400000000000002</v>
      </c>
    </row>
    <row r="1787" spans="1:11">
      <c r="A1787" s="3" t="s">
        <v>13</v>
      </c>
      <c r="B1787" s="60">
        <v>396</v>
      </c>
      <c r="C1787" s="57">
        <v>333</v>
      </c>
      <c r="D1787" s="61">
        <v>0.84089999999999998</v>
      </c>
      <c r="E1787" s="62">
        <v>7064393</v>
      </c>
      <c r="F1787" s="63">
        <v>0.94599999999999995</v>
      </c>
      <c r="G1787" s="62">
        <v>63</v>
      </c>
      <c r="H1787" s="64">
        <v>0.15909999999999999</v>
      </c>
      <c r="I1787" s="62">
        <v>403569</v>
      </c>
      <c r="J1787" s="65">
        <v>5.3999999999999999E-2</v>
      </c>
      <c r="K1787" s="3" t="s">
        <v>10</v>
      </c>
    </row>
    <row r="1788" spans="1:11" ht="15.75" thickBot="1">
      <c r="A1788" s="3" t="s">
        <v>181</v>
      </c>
      <c r="B1788" s="60">
        <v>489</v>
      </c>
      <c r="C1788" s="57">
        <v>164</v>
      </c>
      <c r="D1788" s="61">
        <v>0.33539999999999998</v>
      </c>
      <c r="E1788" s="62">
        <v>40570</v>
      </c>
      <c r="F1788" s="66">
        <v>0.84630000000000005</v>
      </c>
      <c r="G1788" s="67">
        <v>325</v>
      </c>
      <c r="H1788" s="68">
        <v>0.66459999999999997</v>
      </c>
      <c r="I1788" s="62">
        <v>7370</v>
      </c>
      <c r="J1788" s="65">
        <v>0.1537</v>
      </c>
      <c r="K1788" s="3" t="s">
        <v>11</v>
      </c>
    </row>
    <row r="1789" spans="1:11" ht="17.25" thickTop="1" thickBot="1">
      <c r="A1789" s="34" t="s">
        <v>175</v>
      </c>
      <c r="B1789" s="69">
        <v>599912</v>
      </c>
      <c r="C1789" s="70">
        <v>18617</v>
      </c>
      <c r="D1789" s="71">
        <v>3.1E-2</v>
      </c>
      <c r="E1789" s="72">
        <v>10682870</v>
      </c>
      <c r="F1789" s="73">
        <v>0.41980000000000001</v>
      </c>
      <c r="G1789" s="74">
        <v>581295</v>
      </c>
      <c r="H1789" s="75">
        <v>0.96899999999999997</v>
      </c>
      <c r="I1789" s="74">
        <v>14765062</v>
      </c>
      <c r="J1789" s="76">
        <v>0.58020000000000005</v>
      </c>
      <c r="K1789" s="3" t="s">
        <v>12</v>
      </c>
    </row>
    <row r="1790" spans="1:11" ht="16.5" thickBot="1">
      <c r="A1790" s="1" t="s">
        <v>187</v>
      </c>
      <c r="B1790" s="77"/>
      <c r="C1790" s="78" t="s">
        <v>179</v>
      </c>
      <c r="D1790" s="79"/>
      <c r="E1790" s="79"/>
      <c r="F1790" s="80"/>
      <c r="G1790" s="81" t="s">
        <v>180</v>
      </c>
      <c r="H1790" s="82"/>
      <c r="I1790" s="82"/>
      <c r="J1790" s="80"/>
      <c r="K1790" s="3" t="s">
        <v>13</v>
      </c>
    </row>
    <row r="1791" spans="1:11" ht="15.75" thickTop="1">
      <c r="B1791" s="42" t="s">
        <v>4</v>
      </c>
      <c r="C1791" s="43" t="s">
        <v>5</v>
      </c>
      <c r="D1791" s="44"/>
      <c r="E1791" s="43" t="s">
        <v>6</v>
      </c>
      <c r="F1791" s="45"/>
      <c r="G1791" s="43" t="s">
        <v>7</v>
      </c>
      <c r="H1791" s="46"/>
      <c r="I1791" s="47" t="s">
        <v>6</v>
      </c>
      <c r="J1791" s="48"/>
    </row>
    <row r="1792" spans="1:11" ht="15.75" thickBot="1">
      <c r="B1792" s="49" t="s">
        <v>8</v>
      </c>
      <c r="C1792" s="50" t="s">
        <v>8</v>
      </c>
      <c r="D1792" s="51" t="s">
        <v>9</v>
      </c>
      <c r="E1792" s="50" t="s">
        <v>8</v>
      </c>
      <c r="F1792" s="52" t="s">
        <v>9</v>
      </c>
      <c r="G1792" s="53" t="s">
        <v>8</v>
      </c>
      <c r="H1792" s="54" t="s">
        <v>9</v>
      </c>
      <c r="I1792" s="53" t="s">
        <v>8</v>
      </c>
      <c r="J1792" s="55" t="s">
        <v>9</v>
      </c>
      <c r="K1792" s="22"/>
    </row>
    <row r="1793" spans="1:11" ht="16.5" thickTop="1">
      <c r="C1793" s="43"/>
      <c r="E1793" s="57"/>
      <c r="F1793" s="58"/>
      <c r="G1793" s="57"/>
      <c r="I1793" s="57"/>
      <c r="K1793" s="1" t="s">
        <v>125</v>
      </c>
    </row>
    <row r="1794" spans="1:11">
      <c r="A1794" s="3" t="s">
        <v>10</v>
      </c>
      <c r="B1794" s="60">
        <v>537121</v>
      </c>
      <c r="C1794" s="57">
        <v>2707</v>
      </c>
      <c r="D1794" s="61">
        <v>5.0000000000000001E-3</v>
      </c>
      <c r="E1794" s="62">
        <v>49202</v>
      </c>
      <c r="F1794" s="63">
        <v>5.4999999999999997E-3</v>
      </c>
      <c r="G1794" s="62">
        <v>534414</v>
      </c>
      <c r="H1794" s="64">
        <v>0.995</v>
      </c>
      <c r="I1794" s="62">
        <v>8894557</v>
      </c>
      <c r="J1794" s="65">
        <v>0.99450000000000005</v>
      </c>
    </row>
    <row r="1795" spans="1:11">
      <c r="A1795" s="3" t="s">
        <v>11</v>
      </c>
      <c r="B1795" s="60">
        <v>50022</v>
      </c>
      <c r="C1795" s="57">
        <v>11121</v>
      </c>
      <c r="D1795" s="61">
        <v>0.2223</v>
      </c>
      <c r="E1795" s="62">
        <v>340010</v>
      </c>
      <c r="F1795" s="63">
        <v>0.22889999999999999</v>
      </c>
      <c r="G1795" s="62">
        <v>38901</v>
      </c>
      <c r="H1795" s="64">
        <v>0.77769999999999995</v>
      </c>
      <c r="I1795" s="62">
        <v>1145536</v>
      </c>
      <c r="J1795" s="65">
        <v>0.77110000000000001</v>
      </c>
    </row>
    <row r="1796" spans="1:11">
      <c r="A1796" s="3" t="s">
        <v>12</v>
      </c>
      <c r="B1796" s="60">
        <v>11661</v>
      </c>
      <c r="C1796" s="57">
        <v>4390</v>
      </c>
      <c r="D1796" s="61">
        <v>0.3765</v>
      </c>
      <c r="E1796" s="62">
        <v>3190829</v>
      </c>
      <c r="F1796" s="63">
        <v>0.55059999999999998</v>
      </c>
      <c r="G1796" s="62">
        <v>7271</v>
      </c>
      <c r="H1796" s="64">
        <v>0.62350000000000005</v>
      </c>
      <c r="I1796" s="62">
        <v>2604662</v>
      </c>
      <c r="J1796" s="65">
        <v>0.44940000000000002</v>
      </c>
    </row>
    <row r="1797" spans="1:11">
      <c r="A1797" s="3" t="s">
        <v>13</v>
      </c>
      <c r="B1797" s="60">
        <v>396</v>
      </c>
      <c r="C1797" s="57">
        <v>333</v>
      </c>
      <c r="D1797" s="61">
        <v>0.84089999999999998</v>
      </c>
      <c r="E1797" s="62">
        <v>6674381</v>
      </c>
      <c r="F1797" s="63">
        <v>0.94910000000000005</v>
      </c>
      <c r="G1797" s="62">
        <v>63</v>
      </c>
      <c r="H1797" s="64">
        <v>0.15909999999999999</v>
      </c>
      <c r="I1797" s="62">
        <v>357678</v>
      </c>
      <c r="J1797" s="65">
        <v>5.0900000000000001E-2</v>
      </c>
      <c r="K1797" s="3" t="s">
        <v>10</v>
      </c>
    </row>
    <row r="1798" spans="1:11" ht="15.75" thickBot="1">
      <c r="A1798" s="3" t="s">
        <v>181</v>
      </c>
      <c r="B1798" s="60">
        <v>488</v>
      </c>
      <c r="C1798" s="57">
        <v>162</v>
      </c>
      <c r="D1798" s="61">
        <v>0.33200000000000002</v>
      </c>
      <c r="E1798" s="62">
        <v>50004</v>
      </c>
      <c r="F1798" s="66">
        <v>0.84940000000000004</v>
      </c>
      <c r="G1798" s="67">
        <v>326</v>
      </c>
      <c r="H1798" s="68">
        <v>0.66800000000000004</v>
      </c>
      <c r="I1798" s="62">
        <v>8867</v>
      </c>
      <c r="J1798" s="65">
        <v>0.15060000000000001</v>
      </c>
      <c r="K1798" s="3" t="s">
        <v>11</v>
      </c>
    </row>
    <row r="1799" spans="1:11" ht="17.25" thickTop="1" thickBot="1">
      <c r="A1799" s="34" t="s">
        <v>175</v>
      </c>
      <c r="B1799" s="69">
        <v>599688</v>
      </c>
      <c r="C1799" s="70">
        <v>18713</v>
      </c>
      <c r="D1799" s="71">
        <v>3.1199999999999999E-2</v>
      </c>
      <c r="E1799" s="72">
        <v>10304426</v>
      </c>
      <c r="F1799" s="73">
        <v>0.442</v>
      </c>
      <c r="G1799" s="74">
        <v>580975</v>
      </c>
      <c r="H1799" s="75">
        <v>0.96879999999999999</v>
      </c>
      <c r="I1799" s="74">
        <v>13011301</v>
      </c>
      <c r="J1799" s="76">
        <v>0.55800000000000005</v>
      </c>
      <c r="K1799" s="3" t="s">
        <v>12</v>
      </c>
    </row>
    <row r="1800" spans="1:11" ht="16.5" thickBot="1">
      <c r="A1800" s="1" t="s">
        <v>188</v>
      </c>
      <c r="B1800" s="77"/>
      <c r="C1800" s="78" t="s">
        <v>179</v>
      </c>
      <c r="D1800" s="79"/>
      <c r="E1800" s="79"/>
      <c r="F1800" s="80"/>
      <c r="G1800" s="81" t="s">
        <v>180</v>
      </c>
      <c r="H1800" s="82"/>
      <c r="I1800" s="82"/>
      <c r="J1800" s="80"/>
      <c r="K1800" s="3" t="s">
        <v>13</v>
      </c>
    </row>
    <row r="1801" spans="1:11" ht="15.75" thickTop="1">
      <c r="B1801" s="42" t="s">
        <v>4</v>
      </c>
      <c r="C1801" s="43" t="s">
        <v>5</v>
      </c>
      <c r="D1801" s="44"/>
      <c r="E1801" s="43" t="s">
        <v>6</v>
      </c>
      <c r="F1801" s="45"/>
      <c r="G1801" s="43" t="s">
        <v>7</v>
      </c>
      <c r="H1801" s="46"/>
      <c r="I1801" s="47" t="s">
        <v>6</v>
      </c>
      <c r="J1801" s="48"/>
    </row>
    <row r="1802" spans="1:11" ht="15.75" thickBot="1">
      <c r="B1802" s="49" t="s">
        <v>8</v>
      </c>
      <c r="C1802" s="50" t="s">
        <v>8</v>
      </c>
      <c r="D1802" s="51" t="s">
        <v>9</v>
      </c>
      <c r="E1802" s="50" t="s">
        <v>8</v>
      </c>
      <c r="F1802" s="52" t="s">
        <v>9</v>
      </c>
      <c r="G1802" s="53" t="s">
        <v>8</v>
      </c>
      <c r="H1802" s="54" t="s">
        <v>9</v>
      </c>
      <c r="I1802" s="53" t="s">
        <v>8</v>
      </c>
      <c r="J1802" s="55" t="s">
        <v>9</v>
      </c>
      <c r="K1802" s="22"/>
    </row>
    <row r="1803" spans="1:11" ht="16.5" thickTop="1">
      <c r="C1803" s="43"/>
      <c r="E1803" s="57"/>
      <c r="F1803" s="58"/>
      <c r="G1803" s="57"/>
      <c r="I1803" s="57"/>
      <c r="K1803" s="1" t="s">
        <v>125</v>
      </c>
    </row>
    <row r="1804" spans="1:11">
      <c r="A1804" s="3" t="s">
        <v>10</v>
      </c>
      <c r="B1804" s="60">
        <v>537242</v>
      </c>
      <c r="C1804" s="57">
        <v>2845</v>
      </c>
      <c r="D1804" s="61">
        <v>5.3E-3</v>
      </c>
      <c r="E1804" s="62">
        <v>54326</v>
      </c>
      <c r="F1804" s="63">
        <v>5.7999999999999996E-3</v>
      </c>
      <c r="G1804" s="62">
        <v>534397</v>
      </c>
      <c r="H1804" s="64">
        <v>0.99470000000000003</v>
      </c>
      <c r="I1804" s="62">
        <v>9245954</v>
      </c>
      <c r="J1804" s="65">
        <v>0.99419999999999997</v>
      </c>
    </row>
    <row r="1805" spans="1:11">
      <c r="A1805" s="3" t="s">
        <v>11</v>
      </c>
      <c r="B1805" s="60">
        <v>50135</v>
      </c>
      <c r="C1805" s="57">
        <v>11189</v>
      </c>
      <c r="D1805" s="61">
        <v>0.22320000000000001</v>
      </c>
      <c r="E1805" s="62">
        <v>337912</v>
      </c>
      <c r="F1805" s="63">
        <v>0.22989999999999999</v>
      </c>
      <c r="G1805" s="62">
        <v>38946</v>
      </c>
      <c r="H1805" s="64">
        <v>0.77680000000000005</v>
      </c>
      <c r="I1805" s="62">
        <v>1131941</v>
      </c>
      <c r="J1805" s="65">
        <v>0.77010000000000001</v>
      </c>
    </row>
    <row r="1806" spans="1:11">
      <c r="A1806" s="3" t="s">
        <v>12</v>
      </c>
      <c r="B1806" s="60">
        <v>11584</v>
      </c>
      <c r="C1806" s="57">
        <v>4379</v>
      </c>
      <c r="D1806" s="61">
        <v>0.378</v>
      </c>
      <c r="E1806" s="62">
        <v>2978598</v>
      </c>
      <c r="F1806" s="63">
        <v>0.56000000000000005</v>
      </c>
      <c r="G1806" s="62">
        <v>7205</v>
      </c>
      <c r="H1806" s="64">
        <v>0.622</v>
      </c>
      <c r="I1806" s="62">
        <v>2340285</v>
      </c>
      <c r="J1806" s="65">
        <v>0.44</v>
      </c>
    </row>
    <row r="1807" spans="1:11">
      <c r="A1807" s="3" t="s">
        <v>13</v>
      </c>
      <c r="B1807" s="60">
        <v>394</v>
      </c>
      <c r="C1807" s="57">
        <v>333</v>
      </c>
      <c r="D1807" s="61">
        <v>0.84519999999999995</v>
      </c>
      <c r="E1807" s="62">
        <v>6378357</v>
      </c>
      <c r="F1807" s="63">
        <v>0.96189999999999998</v>
      </c>
      <c r="G1807" s="62">
        <v>61</v>
      </c>
      <c r="H1807" s="64">
        <v>0.15479999999999999</v>
      </c>
      <c r="I1807" s="62">
        <v>252543</v>
      </c>
      <c r="J1807" s="65">
        <v>3.8100000000000002E-2</v>
      </c>
      <c r="K1807" s="3" t="s">
        <v>10</v>
      </c>
    </row>
    <row r="1808" spans="1:11" ht="15.75" thickBot="1">
      <c r="A1808" s="3" t="s">
        <v>181</v>
      </c>
      <c r="B1808" s="60">
        <v>485</v>
      </c>
      <c r="C1808" s="57">
        <v>159</v>
      </c>
      <c r="D1808" s="61">
        <v>0.32779999999999998</v>
      </c>
      <c r="E1808" s="62">
        <v>48982</v>
      </c>
      <c r="F1808" s="66">
        <v>0.8458</v>
      </c>
      <c r="G1808" s="67">
        <v>326</v>
      </c>
      <c r="H1808" s="68">
        <v>0.67220000000000002</v>
      </c>
      <c r="I1808" s="62">
        <v>8929</v>
      </c>
      <c r="J1808" s="65">
        <v>0.1542</v>
      </c>
      <c r="K1808" s="3" t="s">
        <v>11</v>
      </c>
    </row>
    <row r="1809" spans="1:11" ht="17.25" thickTop="1" thickBot="1">
      <c r="A1809" s="34" t="s">
        <v>175</v>
      </c>
      <c r="B1809" s="69">
        <v>599840</v>
      </c>
      <c r="C1809" s="70">
        <v>18905</v>
      </c>
      <c r="D1809" s="71">
        <v>3.15E-2</v>
      </c>
      <c r="E1809" s="72">
        <v>9798176</v>
      </c>
      <c r="F1809" s="73">
        <v>0.43020000000000003</v>
      </c>
      <c r="G1809" s="74">
        <v>580935</v>
      </c>
      <c r="H1809" s="75">
        <v>0.96850000000000003</v>
      </c>
      <c r="I1809" s="74">
        <v>12979651</v>
      </c>
      <c r="J1809" s="76">
        <v>0.56979999999999997</v>
      </c>
      <c r="K1809" s="3" t="s">
        <v>12</v>
      </c>
    </row>
    <row r="1810" spans="1:11" ht="16.5" thickBot="1">
      <c r="A1810" s="1" t="s">
        <v>189</v>
      </c>
      <c r="B1810" s="77"/>
      <c r="C1810" s="78" t="s">
        <v>179</v>
      </c>
      <c r="D1810" s="79"/>
      <c r="E1810" s="79"/>
      <c r="F1810" s="80"/>
      <c r="G1810" s="81" t="s">
        <v>180</v>
      </c>
      <c r="H1810" s="82"/>
      <c r="I1810" s="82"/>
      <c r="J1810" s="80"/>
      <c r="K1810" s="3" t="s">
        <v>13</v>
      </c>
    </row>
    <row r="1811" spans="1:11" ht="15.75" thickTop="1">
      <c r="B1811" s="42" t="s">
        <v>4</v>
      </c>
      <c r="C1811" s="43" t="s">
        <v>5</v>
      </c>
      <c r="D1811" s="44"/>
      <c r="E1811" s="43" t="s">
        <v>6</v>
      </c>
      <c r="F1811" s="45"/>
      <c r="G1811" s="43" t="s">
        <v>7</v>
      </c>
      <c r="H1811" s="46"/>
      <c r="I1811" s="47" t="s">
        <v>6</v>
      </c>
      <c r="J1811" s="48"/>
    </row>
    <row r="1812" spans="1:11" ht="15.75" thickBot="1">
      <c r="B1812" s="49" t="s">
        <v>8</v>
      </c>
      <c r="C1812" s="50" t="s">
        <v>8</v>
      </c>
      <c r="D1812" s="51" t="s">
        <v>9</v>
      </c>
      <c r="E1812" s="50" t="s">
        <v>8</v>
      </c>
      <c r="F1812" s="52" t="s">
        <v>9</v>
      </c>
      <c r="G1812" s="53" t="s">
        <v>8</v>
      </c>
      <c r="H1812" s="54" t="s">
        <v>9</v>
      </c>
      <c r="I1812" s="53" t="s">
        <v>8</v>
      </c>
      <c r="J1812" s="55" t="s">
        <v>9</v>
      </c>
      <c r="K1812" s="22"/>
    </row>
    <row r="1813" spans="1:11" ht="16.5" thickTop="1">
      <c r="C1813" s="43"/>
      <c r="E1813" s="57"/>
      <c r="F1813" s="58"/>
      <c r="G1813" s="57"/>
      <c r="I1813" s="57"/>
      <c r="K1813" s="1" t="s">
        <v>125</v>
      </c>
    </row>
    <row r="1814" spans="1:11">
      <c r="A1814" s="3" t="s">
        <v>10</v>
      </c>
      <c r="B1814" s="60">
        <v>538151</v>
      </c>
      <c r="C1814" s="57">
        <v>3063</v>
      </c>
      <c r="D1814" s="61">
        <v>5.6917110625084779E-3</v>
      </c>
      <c r="E1814" s="62">
        <v>54354.754019142849</v>
      </c>
      <c r="F1814" s="63">
        <v>6.3611877946781956E-3</v>
      </c>
      <c r="G1814" s="62">
        <v>535088</v>
      </c>
      <c r="H1814" s="64">
        <v>0.99430828893749157</v>
      </c>
      <c r="I1814" s="62">
        <v>8490394.3987438567</v>
      </c>
      <c r="J1814" s="65">
        <v>0.9936388122053218</v>
      </c>
    </row>
    <row r="1815" spans="1:11">
      <c r="A1815" s="3" t="s">
        <v>11</v>
      </c>
      <c r="B1815" s="60">
        <v>50049</v>
      </c>
      <c r="C1815" s="57">
        <v>11219</v>
      </c>
      <c r="D1815" s="61">
        <v>0.2241603228835741</v>
      </c>
      <c r="E1815" s="62">
        <v>285208.84017442859</v>
      </c>
      <c r="F1815" s="63">
        <v>0.22309999999999999</v>
      </c>
      <c r="G1815" s="62">
        <v>38830</v>
      </c>
      <c r="H1815" s="64">
        <v>0.77583967711642587</v>
      </c>
      <c r="I1815" s="62">
        <v>993417.00525171426</v>
      </c>
      <c r="J1815" s="65">
        <v>0.77694112691787975</v>
      </c>
    </row>
    <row r="1816" spans="1:11">
      <c r="A1816" s="3" t="s">
        <v>12</v>
      </c>
      <c r="B1816" s="60">
        <v>11573</v>
      </c>
      <c r="C1816" s="57">
        <v>4380</v>
      </c>
      <c r="D1816" s="61">
        <v>0.37846712174889829</v>
      </c>
      <c r="E1816" s="62">
        <v>2729512.3910905714</v>
      </c>
      <c r="F1816" s="63">
        <v>0.56510000000000005</v>
      </c>
      <c r="G1816" s="62">
        <v>7193</v>
      </c>
      <c r="H1816" s="64">
        <v>0.62153287825110171</v>
      </c>
      <c r="I1816" s="62">
        <v>2100928.9138410003</v>
      </c>
      <c r="J1816" s="65">
        <v>0.43493519146916992</v>
      </c>
    </row>
    <row r="1817" spans="1:11">
      <c r="A1817" s="3" t="s">
        <v>13</v>
      </c>
      <c r="B1817" s="60">
        <v>388</v>
      </c>
      <c r="C1817" s="57">
        <v>328</v>
      </c>
      <c r="D1817" s="61">
        <v>0.84536082474226804</v>
      </c>
      <c r="E1817" s="62">
        <v>6793784.4707774268</v>
      </c>
      <c r="F1817" s="63">
        <v>0.96509999999999996</v>
      </c>
      <c r="G1817" s="62">
        <v>60</v>
      </c>
      <c r="H1817" s="64">
        <v>0.15463917525773196</v>
      </c>
      <c r="I1817" s="62">
        <v>245529.61315971427</v>
      </c>
      <c r="J1817" s="65">
        <v>3.4879763884947679E-2</v>
      </c>
      <c r="K1817" s="3" t="s">
        <v>10</v>
      </c>
    </row>
    <row r="1818" spans="1:11" ht="15.75" thickBot="1">
      <c r="A1818" s="3" t="s">
        <v>181</v>
      </c>
      <c r="B1818" s="60">
        <v>487</v>
      </c>
      <c r="C1818" s="57">
        <v>161</v>
      </c>
      <c r="D1818" s="61">
        <v>0.33059548254620125</v>
      </c>
      <c r="E1818" s="62">
        <v>56503.921544857156</v>
      </c>
      <c r="F1818" s="66">
        <v>0.8491628312770908</v>
      </c>
      <c r="G1818" s="67">
        <v>326</v>
      </c>
      <c r="H1818" s="68">
        <v>0.66940451745379881</v>
      </c>
      <c r="I1818" s="62">
        <v>10036.816536999997</v>
      </c>
      <c r="J1818" s="65">
        <v>0.1508371687229092</v>
      </c>
      <c r="K1818" s="3" t="s">
        <v>11</v>
      </c>
    </row>
    <row r="1819" spans="1:11" ht="17.25" thickTop="1" thickBot="1">
      <c r="A1819" s="34" t="s">
        <v>175</v>
      </c>
      <c r="B1819" s="69">
        <v>600648</v>
      </c>
      <c r="C1819" s="70">
        <v>19151</v>
      </c>
      <c r="D1819" s="71">
        <v>3.18838987227128E-2</v>
      </c>
      <c r="E1819" s="72">
        <v>9919364.3776064273</v>
      </c>
      <c r="F1819" s="73">
        <v>0.45590000000000003</v>
      </c>
      <c r="G1819" s="74">
        <v>581497</v>
      </c>
      <c r="H1819" s="75">
        <v>0.9681161012772872</v>
      </c>
      <c r="I1819" s="74">
        <v>11840306.747533286</v>
      </c>
      <c r="J1819" s="76">
        <v>0.54413996789932007</v>
      </c>
      <c r="K1819" s="3" t="s">
        <v>12</v>
      </c>
    </row>
    <row r="1820" spans="1:11" ht="16.5" thickBot="1">
      <c r="A1820" s="1" t="s">
        <v>190</v>
      </c>
      <c r="B1820" s="77"/>
      <c r="C1820" s="78" t="s">
        <v>179</v>
      </c>
      <c r="D1820" s="79"/>
      <c r="E1820" s="79"/>
      <c r="F1820" s="80"/>
      <c r="G1820" s="81" t="s">
        <v>180</v>
      </c>
      <c r="H1820" s="82"/>
      <c r="I1820" s="82"/>
      <c r="J1820" s="80"/>
      <c r="K1820" s="3" t="s">
        <v>13</v>
      </c>
    </row>
    <row r="1821" spans="1:11" ht="15.75" thickTop="1">
      <c r="B1821" s="42" t="s">
        <v>4</v>
      </c>
      <c r="C1821" s="43" t="s">
        <v>5</v>
      </c>
      <c r="D1821" s="44"/>
      <c r="E1821" s="43" t="s">
        <v>6</v>
      </c>
      <c r="F1821" s="45"/>
      <c r="G1821" s="43" t="s">
        <v>7</v>
      </c>
      <c r="H1821" s="46"/>
      <c r="I1821" s="47" t="s">
        <v>6</v>
      </c>
      <c r="J1821" s="48"/>
    </row>
    <row r="1822" spans="1:11" ht="15.75" thickBot="1">
      <c r="B1822" s="49" t="s">
        <v>8</v>
      </c>
      <c r="C1822" s="50" t="s">
        <v>8</v>
      </c>
      <c r="D1822" s="51" t="s">
        <v>9</v>
      </c>
      <c r="E1822" s="50" t="s">
        <v>8</v>
      </c>
      <c r="F1822" s="52" t="s">
        <v>9</v>
      </c>
      <c r="G1822" s="53" t="s">
        <v>8</v>
      </c>
      <c r="H1822" s="54" t="s">
        <v>9</v>
      </c>
      <c r="I1822" s="53" t="s">
        <v>8</v>
      </c>
      <c r="J1822" s="55" t="s">
        <v>9</v>
      </c>
      <c r="K1822" s="22"/>
    </row>
    <row r="1823" spans="1:11" ht="16.5" thickTop="1">
      <c r="C1823" s="43"/>
      <c r="E1823" s="57"/>
      <c r="F1823" s="58"/>
      <c r="G1823" s="57"/>
      <c r="I1823" s="57"/>
      <c r="K1823" s="1" t="s">
        <v>125</v>
      </c>
    </row>
    <row r="1824" spans="1:11">
      <c r="A1824" s="3" t="s">
        <v>10</v>
      </c>
      <c r="B1824" s="60">
        <v>538130</v>
      </c>
      <c r="C1824" s="57">
        <v>3278</v>
      </c>
      <c r="D1824" s="61">
        <v>6.0914648876665492E-3</v>
      </c>
      <c r="E1824" s="62">
        <v>67806.900833000007</v>
      </c>
      <c r="F1824" s="63">
        <v>6.8513086571942569E-3</v>
      </c>
      <c r="G1824" s="62">
        <v>534852</v>
      </c>
      <c r="H1824" s="64">
        <v>0.99390853511233346</v>
      </c>
      <c r="I1824" s="62">
        <v>9829119.9821500015</v>
      </c>
      <c r="J1824" s="65">
        <v>0.99314869134280581</v>
      </c>
    </row>
    <row r="1825" spans="1:11">
      <c r="A1825" s="3" t="s">
        <v>11</v>
      </c>
      <c r="B1825" s="60">
        <v>49985</v>
      </c>
      <c r="C1825" s="57">
        <v>11113</v>
      </c>
      <c r="D1825" s="61">
        <v>0.22232669800940283</v>
      </c>
      <c r="E1825" s="62">
        <v>311748.76687500003</v>
      </c>
      <c r="F1825" s="63">
        <v>0.21112361599607693</v>
      </c>
      <c r="G1825" s="62">
        <v>38872</v>
      </c>
      <c r="H1825" s="64">
        <v>0.77767330199059714</v>
      </c>
      <c r="I1825" s="62">
        <v>1164868.4528717143</v>
      </c>
      <c r="J1825" s="65">
        <v>0.78887638400392313</v>
      </c>
    </row>
    <row r="1826" spans="1:11">
      <c r="A1826" s="3" t="s">
        <v>12</v>
      </c>
      <c r="B1826" s="60">
        <v>11583</v>
      </c>
      <c r="C1826" s="57">
        <v>4362</v>
      </c>
      <c r="D1826" s="61">
        <v>0.37658637658637656</v>
      </c>
      <c r="E1826" s="62">
        <v>2971684.4494624292</v>
      </c>
      <c r="F1826" s="63">
        <v>0.56021120134539304</v>
      </c>
      <c r="G1826" s="62">
        <v>7221</v>
      </c>
      <c r="H1826" s="64">
        <v>0.62341362341362339</v>
      </c>
      <c r="I1826" s="62">
        <v>2332894.3278374285</v>
      </c>
      <c r="J1826" s="65">
        <v>0.43978879865460702</v>
      </c>
    </row>
    <row r="1827" spans="1:11">
      <c r="A1827" s="3" t="s">
        <v>13</v>
      </c>
      <c r="B1827" s="60">
        <v>386</v>
      </c>
      <c r="C1827" s="57">
        <v>326</v>
      </c>
      <c r="D1827" s="61">
        <v>0.84455958549222798</v>
      </c>
      <c r="E1827" s="62">
        <v>6089290.0902951434</v>
      </c>
      <c r="F1827" s="63">
        <v>0.96593027874973736</v>
      </c>
      <c r="G1827" s="62">
        <v>60</v>
      </c>
      <c r="H1827" s="64">
        <v>0.15544041450777202</v>
      </c>
      <c r="I1827" s="62">
        <v>214777.83702657139</v>
      </c>
      <c r="J1827" s="65">
        <v>3.4069721250262572E-2</v>
      </c>
      <c r="K1827" s="3" t="s">
        <v>10</v>
      </c>
    </row>
    <row r="1828" spans="1:11" ht="15.75" thickBot="1">
      <c r="A1828" s="3" t="s">
        <v>181</v>
      </c>
      <c r="B1828" s="60">
        <v>486</v>
      </c>
      <c r="C1828" s="57">
        <v>161</v>
      </c>
      <c r="D1828" s="61">
        <v>0.33127572016460904</v>
      </c>
      <c r="E1828" s="62">
        <v>63701.004047428571</v>
      </c>
      <c r="F1828" s="66">
        <v>0.84684849902636894</v>
      </c>
      <c r="G1828" s="67">
        <v>325</v>
      </c>
      <c r="H1828" s="68">
        <v>0.66872427983539096</v>
      </c>
      <c r="I1828" s="62">
        <v>11520.247594</v>
      </c>
      <c r="J1828" s="65">
        <v>0.15315150097363114</v>
      </c>
      <c r="K1828" s="3" t="s">
        <v>11</v>
      </c>
    </row>
    <row r="1829" spans="1:11" ht="17.25" thickTop="1" thickBot="1">
      <c r="A1829" s="34" t="s">
        <v>175</v>
      </c>
      <c r="B1829" s="69">
        <v>600570</v>
      </c>
      <c r="C1829" s="70">
        <v>19240</v>
      </c>
      <c r="D1829" s="71">
        <v>3.2036232246032935E-2</v>
      </c>
      <c r="E1829" s="72">
        <v>9504231.2115130015</v>
      </c>
      <c r="F1829" s="73">
        <v>0.41219852371967369</v>
      </c>
      <c r="G1829" s="74">
        <v>581330</v>
      </c>
      <c r="H1829" s="75">
        <v>0.96796376775396709</v>
      </c>
      <c r="I1829" s="74">
        <v>13553180.847479716</v>
      </c>
      <c r="J1829" s="76">
        <v>0.5878014762803262</v>
      </c>
      <c r="K1829" s="3" t="s">
        <v>12</v>
      </c>
    </row>
    <row r="1830" spans="1:11" ht="16.5" thickBot="1">
      <c r="A1830" s="1" t="s">
        <v>191</v>
      </c>
      <c r="B1830" s="77"/>
      <c r="C1830" s="78" t="s">
        <v>179</v>
      </c>
      <c r="D1830" s="79"/>
      <c r="E1830" s="79"/>
      <c r="F1830" s="80"/>
      <c r="G1830" s="81" t="s">
        <v>180</v>
      </c>
      <c r="H1830" s="82"/>
      <c r="I1830" s="82"/>
      <c r="J1830" s="80"/>
      <c r="K1830" s="3" t="s">
        <v>13</v>
      </c>
    </row>
    <row r="1831" spans="1:11" ht="15.75" thickTop="1">
      <c r="B1831" s="42" t="s">
        <v>4</v>
      </c>
      <c r="C1831" s="43" t="s">
        <v>5</v>
      </c>
      <c r="D1831" s="44"/>
      <c r="E1831" s="43" t="s">
        <v>6</v>
      </c>
      <c r="F1831" s="45"/>
      <c r="G1831" s="43" t="s">
        <v>7</v>
      </c>
      <c r="H1831" s="46"/>
      <c r="I1831" s="47" t="s">
        <v>6</v>
      </c>
      <c r="J1831" s="48"/>
    </row>
    <row r="1832" spans="1:11" ht="15.75" thickBot="1">
      <c r="B1832" s="49" t="s">
        <v>8</v>
      </c>
      <c r="C1832" s="50" t="s">
        <v>8</v>
      </c>
      <c r="D1832" s="51" t="s">
        <v>9</v>
      </c>
      <c r="E1832" s="50" t="s">
        <v>8</v>
      </c>
      <c r="F1832" s="52" t="s">
        <v>9</v>
      </c>
      <c r="G1832" s="53" t="s">
        <v>8</v>
      </c>
      <c r="H1832" s="54" t="s">
        <v>9</v>
      </c>
      <c r="I1832" s="53" t="s">
        <v>8</v>
      </c>
      <c r="J1832" s="55" t="s">
        <v>9</v>
      </c>
      <c r="K1832" s="22"/>
    </row>
    <row r="1833" spans="1:11" ht="16.5" thickTop="1">
      <c r="C1833" s="43"/>
      <c r="E1833" s="57"/>
      <c r="F1833" s="58"/>
      <c r="G1833" s="57"/>
      <c r="I1833" s="57"/>
      <c r="K1833" s="1" t="s">
        <v>125</v>
      </c>
    </row>
    <row r="1834" spans="1:11">
      <c r="A1834" s="3" t="s">
        <v>10</v>
      </c>
      <c r="B1834" s="83">
        <v>538019</v>
      </c>
      <c r="C1834" s="57">
        <v>3288</v>
      </c>
      <c r="D1834" s="61">
        <v>6.1113083366944286E-3</v>
      </c>
      <c r="E1834" s="62">
        <v>72777.90863628572</v>
      </c>
      <c r="F1834" s="63">
        <v>6.8958096398660665E-3</v>
      </c>
      <c r="G1834" s="62">
        <v>534731</v>
      </c>
      <c r="H1834" s="64">
        <v>0.99388869166330562</v>
      </c>
      <c r="I1834" s="62">
        <v>10481154.470172716</v>
      </c>
      <c r="J1834" s="65">
        <v>0.99310419036013398</v>
      </c>
    </row>
    <row r="1835" spans="1:11">
      <c r="A1835" s="3" t="s">
        <v>11</v>
      </c>
      <c r="B1835" s="83">
        <v>50003</v>
      </c>
      <c r="C1835" s="57">
        <v>11061</v>
      </c>
      <c r="D1835" s="61">
        <v>0.22120672759634422</v>
      </c>
      <c r="E1835" s="62">
        <v>338911.87820128573</v>
      </c>
      <c r="F1835" s="63">
        <v>0.20633063418972813</v>
      </c>
      <c r="G1835" s="62">
        <v>38942</v>
      </c>
      <c r="H1835" s="64">
        <v>0.77879327240365581</v>
      </c>
      <c r="I1835" s="62">
        <v>1303655.0606937141</v>
      </c>
      <c r="J1835" s="65">
        <v>0.79366936581027192</v>
      </c>
    </row>
    <row r="1836" spans="1:11">
      <c r="A1836" s="3" t="s">
        <v>12</v>
      </c>
      <c r="B1836" s="83">
        <v>11557</v>
      </c>
      <c r="C1836" s="57">
        <v>4379</v>
      </c>
      <c r="D1836" s="61">
        <v>0.37890456000692219</v>
      </c>
      <c r="E1836" s="62">
        <v>3142116.0094522857</v>
      </c>
      <c r="F1836" s="63">
        <v>0.56470267720382861</v>
      </c>
      <c r="G1836" s="62">
        <v>7178</v>
      </c>
      <c r="H1836" s="64">
        <v>0.62109543999307781</v>
      </c>
      <c r="I1836" s="62">
        <v>2422079.3384619998</v>
      </c>
      <c r="J1836" s="65">
        <v>0.43529732279617134</v>
      </c>
    </row>
    <row r="1837" spans="1:11">
      <c r="A1837" s="3" t="s">
        <v>13</v>
      </c>
      <c r="B1837" s="83">
        <v>384</v>
      </c>
      <c r="C1837" s="57">
        <v>322</v>
      </c>
      <c r="D1837" s="61">
        <v>0.83854166666666663</v>
      </c>
      <c r="E1837" s="62">
        <v>6159492.002330713</v>
      </c>
      <c r="F1837" s="63">
        <v>0.95717774083014218</v>
      </c>
      <c r="G1837" s="62">
        <v>62</v>
      </c>
      <c r="H1837" s="64">
        <v>0.16145833333333334</v>
      </c>
      <c r="I1837" s="62">
        <v>275563.61961542862</v>
      </c>
      <c r="J1837" s="65">
        <v>4.2822259169857872E-2</v>
      </c>
      <c r="K1837" s="3" t="s">
        <v>10</v>
      </c>
    </row>
    <row r="1838" spans="1:11" ht="15.75" thickBot="1">
      <c r="A1838" s="3" t="s">
        <v>181</v>
      </c>
      <c r="B1838" s="83">
        <v>485</v>
      </c>
      <c r="C1838" s="57">
        <v>160</v>
      </c>
      <c r="D1838" s="61">
        <v>0.32989690721649484</v>
      </c>
      <c r="E1838" s="62">
        <v>75254.363605000006</v>
      </c>
      <c r="F1838" s="66">
        <v>0.84715967722404184</v>
      </c>
      <c r="G1838" s="67">
        <v>325</v>
      </c>
      <c r="H1838" s="68">
        <v>0.67010309278350511</v>
      </c>
      <c r="I1838" s="62">
        <v>13577.016863428571</v>
      </c>
      <c r="J1838" s="65">
        <v>0.15284032277595819</v>
      </c>
      <c r="K1838" s="3" t="s">
        <v>11</v>
      </c>
    </row>
    <row r="1839" spans="1:11" ht="17.25" thickTop="1" thickBot="1">
      <c r="A1839" s="34" t="s">
        <v>175</v>
      </c>
      <c r="B1839" s="84">
        <v>600448</v>
      </c>
      <c r="C1839" s="70">
        <v>19210</v>
      </c>
      <c r="D1839" s="71">
        <v>3.1992778725218503E-2</v>
      </c>
      <c r="E1839" s="72">
        <v>9788552.1622255705</v>
      </c>
      <c r="F1839" s="73">
        <v>0.40307682858341293</v>
      </c>
      <c r="G1839" s="74">
        <v>581238</v>
      </c>
      <c r="H1839" s="75">
        <v>0.96800722127478145</v>
      </c>
      <c r="I1839" s="74">
        <v>14496029.505807288</v>
      </c>
      <c r="J1839" s="76">
        <v>0.59692317141658724</v>
      </c>
      <c r="K1839" s="3" t="s">
        <v>12</v>
      </c>
    </row>
    <row r="1840" spans="1:11" ht="17.25" thickTop="1" thickBot="1">
      <c r="A1840" s="1" t="s">
        <v>192</v>
      </c>
      <c r="B1840" s="85"/>
      <c r="C1840" s="86" t="s">
        <v>179</v>
      </c>
      <c r="D1840" s="87"/>
      <c r="E1840" s="87"/>
      <c r="F1840" s="88"/>
      <c r="G1840" s="89" t="s">
        <v>180</v>
      </c>
      <c r="H1840" s="90"/>
      <c r="I1840" s="90"/>
      <c r="J1840" s="88"/>
      <c r="K1840" s="3" t="s">
        <v>13</v>
      </c>
    </row>
    <row r="1841" spans="1:11" ht="15.75" thickTop="1">
      <c r="B1841" s="42" t="s">
        <v>4</v>
      </c>
      <c r="C1841" s="43" t="s">
        <v>5</v>
      </c>
      <c r="D1841" s="44"/>
      <c r="E1841" s="43" t="s">
        <v>6</v>
      </c>
      <c r="F1841" s="45"/>
      <c r="G1841" s="43" t="s">
        <v>7</v>
      </c>
      <c r="H1841" s="46"/>
      <c r="I1841" s="47" t="s">
        <v>6</v>
      </c>
      <c r="J1841" s="48"/>
    </row>
    <row r="1842" spans="1:11" ht="15.75" thickBot="1">
      <c r="B1842" s="49" t="s">
        <v>8</v>
      </c>
      <c r="C1842" s="50" t="s">
        <v>8</v>
      </c>
      <c r="D1842" s="51" t="s">
        <v>9</v>
      </c>
      <c r="E1842" s="50" t="s">
        <v>8</v>
      </c>
      <c r="F1842" s="52" t="s">
        <v>9</v>
      </c>
      <c r="G1842" s="53" t="s">
        <v>8</v>
      </c>
      <c r="H1842" s="54" t="s">
        <v>9</v>
      </c>
      <c r="I1842" s="53" t="s">
        <v>8</v>
      </c>
      <c r="J1842" s="55" t="s">
        <v>9</v>
      </c>
      <c r="K1842" s="22"/>
    </row>
    <row r="1843" spans="1:11" ht="16.5" thickTop="1">
      <c r="C1843" s="43"/>
      <c r="E1843" s="57"/>
      <c r="F1843" s="58"/>
      <c r="G1843" s="57"/>
      <c r="I1843" s="57"/>
      <c r="K1843" s="1" t="s">
        <v>125</v>
      </c>
    </row>
    <row r="1844" spans="1:11">
      <c r="A1844" s="3" t="s">
        <v>10</v>
      </c>
      <c r="B1844" s="83">
        <v>537921</v>
      </c>
      <c r="C1844" s="57">
        <v>3314</v>
      </c>
      <c r="D1844" s="61">
        <v>6.1607559474346606E-3</v>
      </c>
      <c r="E1844" s="62">
        <v>81726.681907714272</v>
      </c>
      <c r="F1844" s="63">
        <v>6.8226333921436733E-3</v>
      </c>
      <c r="G1844" s="62">
        <v>534607</v>
      </c>
      <c r="H1844" s="64">
        <v>0.9938392440525653</v>
      </c>
      <c r="I1844" s="62">
        <v>11897032.429174427</v>
      </c>
      <c r="J1844" s="65">
        <v>0.99317736660785638</v>
      </c>
    </row>
    <row r="1845" spans="1:11">
      <c r="A1845" s="3" t="s">
        <v>11</v>
      </c>
      <c r="B1845" s="83">
        <v>49983</v>
      </c>
      <c r="C1845" s="57">
        <v>11036</v>
      </c>
      <c r="D1845" s="61">
        <v>0.22079507032391013</v>
      </c>
      <c r="E1845" s="62">
        <v>337208.39325914293</v>
      </c>
      <c r="F1845" s="63">
        <v>0.20774109980650682</v>
      </c>
      <c r="G1845" s="62">
        <v>38947</v>
      </c>
      <c r="H1845" s="64">
        <v>0.7792049296760899</v>
      </c>
      <c r="I1845" s="62">
        <v>1286006.2405962853</v>
      </c>
      <c r="J1845" s="65">
        <v>0.79225890019349321</v>
      </c>
    </row>
    <row r="1846" spans="1:11">
      <c r="A1846" s="3" t="s">
        <v>12</v>
      </c>
      <c r="B1846" s="83">
        <v>11562</v>
      </c>
      <c r="C1846" s="57">
        <v>4349</v>
      </c>
      <c r="D1846" s="61">
        <v>0.37614599550250821</v>
      </c>
      <c r="E1846" s="62">
        <v>2851446.1888065711</v>
      </c>
      <c r="F1846" s="63">
        <v>0.55159688429793041</v>
      </c>
      <c r="G1846" s="62">
        <v>7213</v>
      </c>
      <c r="H1846" s="64">
        <v>0.62385400449749173</v>
      </c>
      <c r="I1846" s="62">
        <v>2317992.3449804289</v>
      </c>
      <c r="J1846" s="65">
        <v>0.44840311570206953</v>
      </c>
    </row>
    <row r="1847" spans="1:11">
      <c r="A1847" s="3" t="s">
        <v>13</v>
      </c>
      <c r="B1847" s="83">
        <v>383</v>
      </c>
      <c r="C1847" s="57">
        <v>324</v>
      </c>
      <c r="D1847" s="61">
        <v>0.84595300261096606</v>
      </c>
      <c r="E1847" s="62">
        <v>6559305.714404285</v>
      </c>
      <c r="F1847" s="63">
        <v>0.96684807600779676</v>
      </c>
      <c r="G1847" s="62">
        <v>59</v>
      </c>
      <c r="H1847" s="64">
        <v>0.15404699738903394</v>
      </c>
      <c r="I1847" s="62">
        <v>224909.79698014283</v>
      </c>
      <c r="J1847" s="65">
        <v>3.315192399220325E-2</v>
      </c>
      <c r="K1847" s="3" t="s">
        <v>10</v>
      </c>
    </row>
    <row r="1848" spans="1:11" ht="15.75" thickBot="1">
      <c r="A1848" s="3" t="s">
        <v>181</v>
      </c>
      <c r="B1848" s="83">
        <v>483</v>
      </c>
      <c r="C1848" s="57">
        <v>159</v>
      </c>
      <c r="D1848" s="61">
        <v>0.32919254658385094</v>
      </c>
      <c r="E1848" s="62">
        <v>75070.49043514287</v>
      </c>
      <c r="F1848" s="66">
        <v>0.84744130788833449</v>
      </c>
      <c r="G1848" s="67">
        <v>324</v>
      </c>
      <c r="H1848" s="68">
        <v>0.67080745341614911</v>
      </c>
      <c r="I1848" s="62">
        <v>13514.394130142859</v>
      </c>
      <c r="J1848" s="65">
        <v>0.15255869211166553</v>
      </c>
      <c r="K1848" s="3" t="s">
        <v>11</v>
      </c>
    </row>
    <row r="1849" spans="1:11" ht="17.25" thickTop="1" thickBot="1">
      <c r="A1849" s="34" t="s">
        <v>175</v>
      </c>
      <c r="B1849" s="84">
        <v>600332</v>
      </c>
      <c r="C1849" s="70">
        <v>19182</v>
      </c>
      <c r="D1849" s="71">
        <v>3.195231971642358E-2</v>
      </c>
      <c r="E1849" s="72">
        <v>9904757.468812855</v>
      </c>
      <c r="F1849" s="73">
        <v>0.38623753415501022</v>
      </c>
      <c r="G1849" s="74">
        <v>581150</v>
      </c>
      <c r="H1849" s="75">
        <v>0.96804768028357646</v>
      </c>
      <c r="I1849" s="74">
        <v>15739455.205861425</v>
      </c>
      <c r="J1849" s="76">
        <v>0.61376246584498961</v>
      </c>
      <c r="K1849" s="3" t="s">
        <v>12</v>
      </c>
    </row>
    <row r="1850" spans="1:11" ht="17.25" thickTop="1" thickBot="1">
      <c r="A1850" s="1" t="s">
        <v>193</v>
      </c>
      <c r="B1850" s="91"/>
      <c r="C1850" s="92" t="s">
        <v>179</v>
      </c>
      <c r="D1850" s="93"/>
      <c r="E1850" s="93"/>
      <c r="F1850" s="94"/>
      <c r="G1850" s="95" t="s">
        <v>180</v>
      </c>
      <c r="H1850" s="96"/>
      <c r="I1850" s="96"/>
      <c r="J1850" s="94"/>
      <c r="K1850" s="3" t="s">
        <v>13</v>
      </c>
    </row>
    <row r="1851" spans="1:11" ht="15.75" thickTop="1">
      <c r="B1851" s="42" t="s">
        <v>4</v>
      </c>
      <c r="C1851" s="43" t="s">
        <v>5</v>
      </c>
      <c r="D1851" s="44"/>
      <c r="E1851" s="43" t="s">
        <v>6</v>
      </c>
      <c r="F1851" s="45"/>
      <c r="G1851" s="43" t="s">
        <v>7</v>
      </c>
      <c r="H1851" s="46"/>
      <c r="I1851" s="47" t="s">
        <v>6</v>
      </c>
      <c r="J1851" s="48"/>
    </row>
    <row r="1852" spans="1:11" ht="15.75" thickBot="1">
      <c r="B1852" s="49" t="s">
        <v>8</v>
      </c>
      <c r="C1852" s="50" t="s">
        <v>8</v>
      </c>
      <c r="D1852" s="51" t="s">
        <v>9</v>
      </c>
      <c r="E1852" s="50" t="s">
        <v>8</v>
      </c>
      <c r="F1852" s="52" t="s">
        <v>9</v>
      </c>
      <c r="G1852" s="53" t="s">
        <v>8</v>
      </c>
      <c r="H1852" s="54" t="s">
        <v>9</v>
      </c>
      <c r="I1852" s="53" t="s">
        <v>8</v>
      </c>
      <c r="J1852" s="55" t="s">
        <v>9</v>
      </c>
      <c r="K1852" s="22"/>
    </row>
    <row r="1853" spans="1:11" ht="16.5" thickTop="1">
      <c r="C1853" s="43"/>
      <c r="E1853" s="57"/>
      <c r="F1853" s="58"/>
      <c r="G1853" s="57"/>
      <c r="I1853" s="57"/>
      <c r="K1853" s="1" t="s">
        <v>125</v>
      </c>
    </row>
    <row r="1854" spans="1:11">
      <c r="A1854" s="3" t="s">
        <v>10</v>
      </c>
      <c r="B1854" s="83">
        <v>537719</v>
      </c>
      <c r="C1854" s="57">
        <v>3344</v>
      </c>
      <c r="D1854" s="61">
        <v>6.2188615243277626E-3</v>
      </c>
      <c r="E1854" s="62">
        <v>77787.778107000006</v>
      </c>
      <c r="F1854" s="63">
        <v>6.6417949023277016E-3</v>
      </c>
      <c r="G1854" s="62">
        <v>534375</v>
      </c>
      <c r="H1854" s="64">
        <v>0.99378113847567229</v>
      </c>
      <c r="I1854" s="62">
        <v>11634073.134631857</v>
      </c>
      <c r="J1854" s="65">
        <v>0.99335820509767225</v>
      </c>
    </row>
    <row r="1855" spans="1:11">
      <c r="A1855" s="3" t="s">
        <v>11</v>
      </c>
      <c r="B1855" s="83">
        <v>49979</v>
      </c>
      <c r="C1855" s="57">
        <v>10983</v>
      </c>
      <c r="D1855" s="61">
        <v>0.21975229596430501</v>
      </c>
      <c r="E1855" s="62">
        <v>349695.23629385716</v>
      </c>
      <c r="F1855" s="63">
        <v>0.20956224169728371</v>
      </c>
      <c r="G1855" s="62">
        <v>38996</v>
      </c>
      <c r="H1855" s="64">
        <v>0.78024770403569499</v>
      </c>
      <c r="I1855" s="62">
        <v>1318998.6727882854</v>
      </c>
      <c r="J1855" s="65">
        <v>0.79043775830271623</v>
      </c>
    </row>
    <row r="1856" spans="1:11">
      <c r="A1856" s="3" t="s">
        <v>12</v>
      </c>
      <c r="B1856" s="83">
        <v>11567</v>
      </c>
      <c r="C1856" s="57">
        <v>4341</v>
      </c>
      <c r="D1856" s="61">
        <v>0.37529177833491828</v>
      </c>
      <c r="E1856" s="62">
        <v>3100752.193653001</v>
      </c>
      <c r="F1856" s="63">
        <v>0.55428341072610821</v>
      </c>
      <c r="G1856" s="62">
        <v>7226</v>
      </c>
      <c r="H1856" s="64">
        <v>0.62470822166508166</v>
      </c>
      <c r="I1856" s="62">
        <v>2493411.6107282862</v>
      </c>
      <c r="J1856" s="65">
        <v>0.44571658927389185</v>
      </c>
    </row>
    <row r="1857" spans="1:11">
      <c r="A1857" s="3" t="s">
        <v>13</v>
      </c>
      <c r="B1857" s="83">
        <v>385</v>
      </c>
      <c r="C1857" s="57">
        <v>325</v>
      </c>
      <c r="D1857" s="61">
        <v>0.8441558441558441</v>
      </c>
      <c r="E1857" s="62">
        <v>6112570.2862922847</v>
      </c>
      <c r="F1857" s="63">
        <v>0.96899929028718335</v>
      </c>
      <c r="G1857" s="62">
        <v>60</v>
      </c>
      <c r="H1857" s="64">
        <v>0.15584415584415584</v>
      </c>
      <c r="I1857" s="62">
        <v>195556.40436885715</v>
      </c>
      <c r="J1857" s="65">
        <v>3.1000709712816706E-2</v>
      </c>
      <c r="K1857" s="3" t="s">
        <v>10</v>
      </c>
    </row>
    <row r="1858" spans="1:11" ht="15.75" thickBot="1">
      <c r="A1858" s="3" t="s">
        <v>181</v>
      </c>
      <c r="B1858" s="83">
        <v>482</v>
      </c>
      <c r="C1858" s="57">
        <v>160</v>
      </c>
      <c r="D1858" s="61">
        <v>0.33195020746887965</v>
      </c>
      <c r="E1858" s="62">
        <v>82331.424066142863</v>
      </c>
      <c r="F1858" s="66">
        <v>0.84578537182967228</v>
      </c>
      <c r="G1858" s="67">
        <v>322</v>
      </c>
      <c r="H1858" s="68">
        <v>0.66804979253112029</v>
      </c>
      <c r="I1858" s="62">
        <v>15011.739824285714</v>
      </c>
      <c r="J1858" s="65">
        <v>0.15421462817032772</v>
      </c>
      <c r="K1858" s="3" t="s">
        <v>11</v>
      </c>
    </row>
    <row r="1859" spans="1:11" ht="17.25" thickTop="1" thickBot="1">
      <c r="A1859" s="34" t="s">
        <v>175</v>
      </c>
      <c r="B1859" s="84">
        <v>600132</v>
      </c>
      <c r="C1859" s="70">
        <v>19153</v>
      </c>
      <c r="D1859" s="71">
        <v>3.1914645444668842E-2</v>
      </c>
      <c r="E1859" s="72">
        <v>9723136.9184122849</v>
      </c>
      <c r="F1859" s="73">
        <v>0.38309947641978598</v>
      </c>
      <c r="G1859" s="74">
        <v>580979</v>
      </c>
      <c r="H1859" s="75">
        <v>0.96808535455533118</v>
      </c>
      <c r="I1859" s="74">
        <v>15657051.562341571</v>
      </c>
      <c r="J1859" s="76">
        <v>0.61690052358021408</v>
      </c>
      <c r="K1859" s="3" t="s">
        <v>12</v>
      </c>
    </row>
    <row r="1860" spans="1:11" ht="17.25" thickTop="1" thickBot="1">
      <c r="A1860" s="1" t="s">
        <v>194</v>
      </c>
      <c r="B1860" s="91"/>
      <c r="C1860" s="92" t="s">
        <v>179</v>
      </c>
      <c r="D1860" s="93"/>
      <c r="E1860" s="93"/>
      <c r="F1860" s="94"/>
      <c r="G1860" s="95" t="s">
        <v>180</v>
      </c>
      <c r="H1860" s="96"/>
      <c r="I1860" s="96"/>
      <c r="J1860" s="94"/>
      <c r="K1860" s="3" t="s">
        <v>13</v>
      </c>
    </row>
    <row r="1861" spans="1:11" ht="15.75" thickTop="1">
      <c r="B1861" s="42" t="s">
        <v>4</v>
      </c>
      <c r="C1861" s="43" t="s">
        <v>5</v>
      </c>
      <c r="D1861" s="44"/>
      <c r="E1861" s="43" t="s">
        <v>6</v>
      </c>
      <c r="F1861" s="45"/>
      <c r="G1861" s="43" t="s">
        <v>7</v>
      </c>
      <c r="H1861" s="46"/>
      <c r="I1861" s="47" t="s">
        <v>6</v>
      </c>
      <c r="J1861" s="48"/>
    </row>
    <row r="1862" spans="1:11" ht="15.75" thickBot="1">
      <c r="B1862" s="49" t="s">
        <v>8</v>
      </c>
      <c r="C1862" s="50" t="s">
        <v>8</v>
      </c>
      <c r="D1862" s="51" t="s">
        <v>9</v>
      </c>
      <c r="E1862" s="50" t="s">
        <v>8</v>
      </c>
      <c r="F1862" s="52" t="s">
        <v>9</v>
      </c>
      <c r="G1862" s="53" t="s">
        <v>8</v>
      </c>
      <c r="H1862" s="54" t="s">
        <v>9</v>
      </c>
      <c r="I1862" s="53" t="s">
        <v>8</v>
      </c>
      <c r="J1862" s="55" t="s">
        <v>9</v>
      </c>
      <c r="K1862" s="22"/>
    </row>
    <row r="1863" spans="1:11" ht="16.5" thickTop="1">
      <c r="C1863" s="43"/>
      <c r="E1863" s="57"/>
      <c r="F1863" s="58"/>
      <c r="G1863" s="57"/>
      <c r="I1863" s="57"/>
      <c r="K1863" s="1" t="s">
        <v>125</v>
      </c>
    </row>
    <row r="1864" spans="1:11">
      <c r="A1864" s="3" t="s">
        <v>10</v>
      </c>
      <c r="B1864" s="83">
        <v>537140</v>
      </c>
      <c r="C1864" s="57">
        <v>3193</v>
      </c>
      <c r="D1864" s="61">
        <v>5.944446513013367E-3</v>
      </c>
      <c r="E1864" s="62">
        <v>63486.441243428577</v>
      </c>
      <c r="F1864" s="63">
        <v>6.0714577824730288E-3</v>
      </c>
      <c r="G1864" s="62">
        <v>533947</v>
      </c>
      <c r="H1864" s="64">
        <v>0.9940555534869866</v>
      </c>
      <c r="I1864" s="62">
        <v>10393053.572375715</v>
      </c>
      <c r="J1864" s="65">
        <v>0.99392854221752691</v>
      </c>
    </row>
    <row r="1865" spans="1:11">
      <c r="A1865" s="3" t="s">
        <v>11</v>
      </c>
      <c r="B1865" s="83">
        <v>49961</v>
      </c>
      <c r="C1865" s="57">
        <v>10759</v>
      </c>
      <c r="D1865" s="61">
        <v>0.21534797141770581</v>
      </c>
      <c r="E1865" s="62">
        <v>300572.23344042856</v>
      </c>
      <c r="F1865" s="63">
        <v>0.20484128599757012</v>
      </c>
      <c r="G1865" s="62">
        <v>39202</v>
      </c>
      <c r="H1865" s="64">
        <v>0.78465202858229421</v>
      </c>
      <c r="I1865" s="62">
        <v>1166769.8210514283</v>
      </c>
      <c r="J1865" s="65">
        <v>0.79515871400242988</v>
      </c>
    </row>
    <row r="1866" spans="1:11">
      <c r="A1866" s="3" t="s">
        <v>12</v>
      </c>
      <c r="B1866" s="83">
        <v>11510</v>
      </c>
      <c r="C1866" s="57">
        <v>4264</v>
      </c>
      <c r="D1866" s="61">
        <v>0.37046046915725456</v>
      </c>
      <c r="E1866" s="62">
        <v>3015942.0009647147</v>
      </c>
      <c r="F1866" s="63">
        <v>0.55199333741311352</v>
      </c>
      <c r="G1866" s="62">
        <v>7246</v>
      </c>
      <c r="H1866" s="64">
        <v>0.62953953084274539</v>
      </c>
      <c r="I1866" s="62">
        <v>2447786.9909444288</v>
      </c>
      <c r="J1866" s="65">
        <v>0.44800666258688643</v>
      </c>
    </row>
    <row r="1867" spans="1:11">
      <c r="A1867" s="3" t="s">
        <v>13</v>
      </c>
      <c r="B1867" s="83">
        <v>361</v>
      </c>
      <c r="C1867" s="57">
        <v>302</v>
      </c>
      <c r="D1867" s="61">
        <v>0.83656509695290859</v>
      </c>
      <c r="E1867" s="62">
        <v>5976492.048806712</v>
      </c>
      <c r="F1867" s="63">
        <v>0.97257780988950904</v>
      </c>
      <c r="G1867" s="62">
        <v>59</v>
      </c>
      <c r="H1867" s="64">
        <v>0.16343490304709141</v>
      </c>
      <c r="I1867" s="62">
        <v>168509.39790085709</v>
      </c>
      <c r="J1867" s="65">
        <v>2.7422190110490983E-2</v>
      </c>
      <c r="K1867" s="3" t="s">
        <v>10</v>
      </c>
    </row>
    <row r="1868" spans="1:11" ht="15.75" thickBot="1">
      <c r="A1868" s="3" t="s">
        <v>181</v>
      </c>
      <c r="B1868" s="83">
        <v>475</v>
      </c>
      <c r="C1868" s="57">
        <v>156</v>
      </c>
      <c r="D1868" s="61">
        <v>0.32842105263157895</v>
      </c>
      <c r="E1868" s="62">
        <v>101179.93325728572</v>
      </c>
      <c r="F1868" s="66">
        <v>0.85084283294757146</v>
      </c>
      <c r="G1868" s="67">
        <v>319</v>
      </c>
      <c r="H1868" s="68">
        <v>0.67157894736842105</v>
      </c>
      <c r="I1868" s="62">
        <v>17737.367728571426</v>
      </c>
      <c r="J1868" s="65">
        <v>0.1491571670524286</v>
      </c>
      <c r="K1868" s="3" t="s">
        <v>11</v>
      </c>
    </row>
    <row r="1869" spans="1:11" ht="17.25" thickTop="1" thickBot="1">
      <c r="A1869" s="34" t="s">
        <v>175</v>
      </c>
      <c r="B1869" s="84">
        <v>599447</v>
      </c>
      <c r="C1869" s="70">
        <v>18674</v>
      </c>
      <c r="D1869" s="71">
        <v>3.1152045134932697E-2</v>
      </c>
      <c r="E1869" s="72">
        <v>9457672.6577125695</v>
      </c>
      <c r="F1869" s="73">
        <v>0.3998757262047421</v>
      </c>
      <c r="G1869" s="74">
        <v>580773</v>
      </c>
      <c r="H1869" s="75">
        <v>0.96884795486506725</v>
      </c>
      <c r="I1869" s="74">
        <v>14193857.150001001</v>
      </c>
      <c r="J1869" s="76">
        <v>0.60012427379525779</v>
      </c>
      <c r="K1869" s="3" t="s">
        <v>12</v>
      </c>
    </row>
    <row r="1870" spans="1:11" ht="17.25" thickTop="1" thickBot="1">
      <c r="A1870" s="1" t="s">
        <v>195</v>
      </c>
      <c r="B1870" s="91"/>
      <c r="C1870" s="92" t="s">
        <v>179</v>
      </c>
      <c r="D1870" s="93"/>
      <c r="E1870" s="93"/>
      <c r="F1870" s="94"/>
      <c r="G1870" s="95" t="s">
        <v>180</v>
      </c>
      <c r="H1870" s="96"/>
      <c r="I1870" s="96"/>
      <c r="J1870" s="94"/>
      <c r="K1870" s="3" t="s">
        <v>13</v>
      </c>
    </row>
    <row r="1871" spans="1:11" ht="15.75" thickTop="1">
      <c r="B1871" s="42" t="s">
        <v>4</v>
      </c>
      <c r="C1871" s="43" t="s">
        <v>5</v>
      </c>
      <c r="D1871" s="44"/>
      <c r="E1871" s="43" t="s">
        <v>6</v>
      </c>
      <c r="F1871" s="45"/>
      <c r="G1871" s="43" t="s">
        <v>7</v>
      </c>
      <c r="H1871" s="46"/>
      <c r="I1871" s="47" t="s">
        <v>6</v>
      </c>
      <c r="J1871" s="48"/>
    </row>
    <row r="1872" spans="1:11" ht="15.75" thickBot="1">
      <c r="B1872" s="49" t="s">
        <v>8</v>
      </c>
      <c r="C1872" s="50" t="s">
        <v>8</v>
      </c>
      <c r="D1872" s="51" t="s">
        <v>9</v>
      </c>
      <c r="E1872" s="50" t="s">
        <v>8</v>
      </c>
      <c r="F1872" s="52" t="s">
        <v>9</v>
      </c>
      <c r="G1872" s="53" t="s">
        <v>8</v>
      </c>
      <c r="H1872" s="54" t="s">
        <v>9</v>
      </c>
      <c r="I1872" s="53" t="s">
        <v>8</v>
      </c>
      <c r="J1872" s="55" t="s">
        <v>9</v>
      </c>
      <c r="K1872" s="22"/>
    </row>
    <row r="1873" spans="1:11" ht="16.5" thickTop="1">
      <c r="C1873" s="43"/>
      <c r="E1873" s="57"/>
      <c r="F1873" s="58"/>
      <c r="G1873" s="57"/>
      <c r="I1873" s="57"/>
      <c r="K1873" s="1" t="s">
        <v>125</v>
      </c>
    </row>
    <row r="1874" spans="1:11">
      <c r="A1874" s="3" t="s">
        <v>10</v>
      </c>
      <c r="B1874" s="83">
        <v>536633</v>
      </c>
      <c r="C1874" s="57">
        <v>3345</v>
      </c>
      <c r="D1874" s="61">
        <v>6.2333102884093968E-3</v>
      </c>
      <c r="E1874" s="62">
        <v>56247.71579071429</v>
      </c>
      <c r="F1874" s="63">
        <v>6.1545586222044408E-3</v>
      </c>
      <c r="G1874" s="62">
        <v>533288</v>
      </c>
      <c r="H1874" s="64">
        <v>0.99376668971159066</v>
      </c>
      <c r="I1874" s="62">
        <v>9082947.9996881429</v>
      </c>
      <c r="J1874" s="65">
        <v>0.99384544137779551</v>
      </c>
    </row>
    <row r="1875" spans="1:11">
      <c r="A1875" s="3" t="s">
        <v>11</v>
      </c>
      <c r="B1875" s="83">
        <v>50011</v>
      </c>
      <c r="C1875" s="57">
        <v>10642</v>
      </c>
      <c r="D1875" s="61">
        <v>0.21279318549919018</v>
      </c>
      <c r="E1875" s="62">
        <v>280859.09107128571</v>
      </c>
      <c r="F1875" s="63">
        <v>0.19885977137144453</v>
      </c>
      <c r="G1875" s="62">
        <v>39369</v>
      </c>
      <c r="H1875" s="64">
        <v>0.78720681450080987</v>
      </c>
      <c r="I1875" s="62">
        <v>1131488.3592668572</v>
      </c>
      <c r="J1875" s="65">
        <v>0.80114022862855538</v>
      </c>
    </row>
    <row r="1876" spans="1:11">
      <c r="A1876" s="3" t="s">
        <v>12</v>
      </c>
      <c r="B1876" s="83">
        <v>11450</v>
      </c>
      <c r="C1876" s="57">
        <v>4250</v>
      </c>
      <c r="D1876" s="61">
        <v>0.37117903930131002</v>
      </c>
      <c r="E1876" s="62">
        <v>2918718.2904469999</v>
      </c>
      <c r="F1876" s="63">
        <v>0.5453123374641764</v>
      </c>
      <c r="G1876" s="62">
        <v>7200</v>
      </c>
      <c r="H1876" s="64">
        <v>0.62882096069868998</v>
      </c>
      <c r="I1876" s="62">
        <v>2433660.685645286</v>
      </c>
      <c r="J1876" s="65">
        <v>0.45468766253582349</v>
      </c>
    </row>
    <row r="1877" spans="1:11">
      <c r="A1877" s="3" t="s">
        <v>13</v>
      </c>
      <c r="B1877" s="83">
        <v>362</v>
      </c>
      <c r="C1877" s="57">
        <v>302</v>
      </c>
      <c r="D1877" s="61">
        <v>0.83425414364640882</v>
      </c>
      <c r="E1877" s="62">
        <v>6585232.0474917144</v>
      </c>
      <c r="F1877" s="63">
        <v>0.9644465156811225</v>
      </c>
      <c r="G1877" s="62">
        <v>60</v>
      </c>
      <c r="H1877" s="64">
        <v>0.16574585635359115</v>
      </c>
      <c r="I1877" s="62">
        <v>242758.86794128575</v>
      </c>
      <c r="J1877" s="65">
        <v>3.555348431887758E-2</v>
      </c>
      <c r="K1877" s="3" t="s">
        <v>10</v>
      </c>
    </row>
    <row r="1878" spans="1:11" ht="15.75" thickBot="1">
      <c r="A1878" s="3" t="s">
        <v>181</v>
      </c>
      <c r="B1878" s="83">
        <v>477</v>
      </c>
      <c r="C1878" s="57">
        <v>157</v>
      </c>
      <c r="D1878" s="61">
        <v>0.32914046121593293</v>
      </c>
      <c r="E1878" s="62">
        <v>75465.975605714295</v>
      </c>
      <c r="F1878" s="66">
        <v>0.843304007612525</v>
      </c>
      <c r="G1878" s="67">
        <v>320</v>
      </c>
      <c r="H1878" s="68">
        <v>0.67085953878406712</v>
      </c>
      <c r="I1878" s="62">
        <v>14022.48279657143</v>
      </c>
      <c r="J1878" s="65">
        <v>0.15669599238747492</v>
      </c>
      <c r="K1878" s="3" t="s">
        <v>11</v>
      </c>
    </row>
    <row r="1879" spans="1:11" ht="17.25" thickTop="1" thickBot="1">
      <c r="A1879" s="34" t="s">
        <v>175</v>
      </c>
      <c r="B1879" s="84">
        <v>598933</v>
      </c>
      <c r="C1879" s="70">
        <v>18696</v>
      </c>
      <c r="D1879" s="71">
        <v>3.1215511584768246E-2</v>
      </c>
      <c r="E1879" s="72">
        <v>9916523.1204064302</v>
      </c>
      <c r="F1879" s="73">
        <v>0.43452734984593222</v>
      </c>
      <c r="G1879" s="74">
        <v>580237</v>
      </c>
      <c r="H1879" s="75">
        <v>0.96878448841523179</v>
      </c>
      <c r="I1879" s="74">
        <v>12904878.395338144</v>
      </c>
      <c r="J1879" s="76">
        <v>0.56547265015406778</v>
      </c>
      <c r="K1879" s="3" t="s">
        <v>12</v>
      </c>
    </row>
    <row r="1880" spans="1:11" ht="17.25" thickTop="1" thickBot="1">
      <c r="A1880" s="1" t="s">
        <v>196</v>
      </c>
      <c r="B1880" s="91"/>
      <c r="C1880" s="92" t="s">
        <v>179</v>
      </c>
      <c r="D1880" s="93"/>
      <c r="E1880" s="93"/>
      <c r="F1880" s="94"/>
      <c r="G1880" s="95" t="s">
        <v>180</v>
      </c>
      <c r="H1880" s="96"/>
      <c r="I1880" s="96"/>
      <c r="J1880" s="94"/>
      <c r="K1880" s="3" t="s">
        <v>13</v>
      </c>
    </row>
    <row r="1881" spans="1:11" ht="15.75" thickTop="1">
      <c r="B1881" s="42" t="s">
        <v>4</v>
      </c>
      <c r="C1881" s="43" t="s">
        <v>5</v>
      </c>
      <c r="D1881" s="44"/>
      <c r="E1881" s="43" t="s">
        <v>6</v>
      </c>
      <c r="F1881" s="45"/>
      <c r="G1881" s="43" t="s">
        <v>7</v>
      </c>
      <c r="H1881" s="46"/>
      <c r="I1881" s="47" t="s">
        <v>6</v>
      </c>
      <c r="J1881" s="48"/>
    </row>
    <row r="1882" spans="1:11" ht="15.75" thickBot="1">
      <c r="B1882" s="49" t="s">
        <v>8</v>
      </c>
      <c r="C1882" s="50" t="s">
        <v>8</v>
      </c>
      <c r="D1882" s="51" t="s">
        <v>9</v>
      </c>
      <c r="E1882" s="50" t="s">
        <v>8</v>
      </c>
      <c r="F1882" s="52" t="s">
        <v>9</v>
      </c>
      <c r="G1882" s="53" t="s">
        <v>8</v>
      </c>
      <c r="H1882" s="54" t="s">
        <v>9</v>
      </c>
      <c r="I1882" s="53" t="s">
        <v>8</v>
      </c>
      <c r="J1882" s="55" t="s">
        <v>9</v>
      </c>
      <c r="K1882" s="22"/>
    </row>
    <row r="1883" spans="1:11" ht="16.5" thickTop="1">
      <c r="C1883" s="43"/>
      <c r="E1883" s="57"/>
      <c r="F1883" s="58"/>
      <c r="G1883" s="57"/>
      <c r="I1883" s="57"/>
      <c r="K1883" s="1" t="s">
        <v>125</v>
      </c>
    </row>
    <row r="1884" spans="1:11">
      <c r="A1884" s="3" t="s">
        <v>10</v>
      </c>
      <c r="B1884" s="83">
        <v>536287</v>
      </c>
      <c r="C1884" s="57">
        <v>3389</v>
      </c>
      <c r="D1884" s="61">
        <v>6.3E-3</v>
      </c>
      <c r="E1884" s="62">
        <v>54060.36576557142</v>
      </c>
      <c r="F1884" s="63">
        <v>6.1000000000000004E-3</v>
      </c>
      <c r="G1884" s="62">
        <v>532898</v>
      </c>
      <c r="H1884" s="64">
        <v>0.99370000000000003</v>
      </c>
      <c r="I1884" s="62">
        <v>8868423.6085544284</v>
      </c>
      <c r="J1884" s="65">
        <v>0.99390000000000001</v>
      </c>
    </row>
    <row r="1885" spans="1:11">
      <c r="A1885" s="3" t="s">
        <v>11</v>
      </c>
      <c r="B1885" s="83">
        <v>50070</v>
      </c>
      <c r="C1885" s="57">
        <v>10602</v>
      </c>
      <c r="D1885" s="61">
        <v>0.2117</v>
      </c>
      <c r="E1885" s="62">
        <v>286821.07057871431</v>
      </c>
      <c r="F1885" s="63">
        <v>0.19059999999999999</v>
      </c>
      <c r="G1885" s="62">
        <v>39468</v>
      </c>
      <c r="H1885" s="64">
        <v>0.7883</v>
      </c>
      <c r="I1885" s="62">
        <v>1217897.4624400001</v>
      </c>
      <c r="J1885" s="65">
        <v>0.80940000000000001</v>
      </c>
    </row>
    <row r="1886" spans="1:11">
      <c r="A1886" s="3" t="s">
        <v>12</v>
      </c>
      <c r="B1886" s="83">
        <v>11380</v>
      </c>
      <c r="C1886" s="57">
        <v>4220</v>
      </c>
      <c r="D1886" s="61">
        <v>0.37080000000000002</v>
      </c>
      <c r="E1886" s="62">
        <v>3039770.5904465714</v>
      </c>
      <c r="F1886" s="63">
        <v>0.52769999999999995</v>
      </c>
      <c r="G1886" s="62">
        <v>7160</v>
      </c>
      <c r="H1886" s="64">
        <v>0.62919999999999998</v>
      </c>
      <c r="I1886" s="62">
        <v>2720259.0526491432</v>
      </c>
      <c r="J1886" s="65">
        <v>0.4723</v>
      </c>
    </row>
    <row r="1887" spans="1:11">
      <c r="A1887" s="3" t="s">
        <v>13</v>
      </c>
      <c r="B1887" s="83">
        <v>358</v>
      </c>
      <c r="C1887" s="57">
        <v>298</v>
      </c>
      <c r="D1887" s="61">
        <v>0.83240000000000003</v>
      </c>
      <c r="E1887" s="62">
        <v>7032612.0666504288</v>
      </c>
      <c r="F1887" s="63">
        <v>0.96930000000000005</v>
      </c>
      <c r="G1887" s="62">
        <v>60</v>
      </c>
      <c r="H1887" s="64">
        <v>0.1676</v>
      </c>
      <c r="I1887" s="62">
        <v>223054.02913228571</v>
      </c>
      <c r="J1887" s="65">
        <v>3.0700000000000002E-2</v>
      </c>
      <c r="K1887" s="3" t="s">
        <v>10</v>
      </c>
    </row>
    <row r="1888" spans="1:11" ht="15.75" thickBot="1">
      <c r="A1888" s="3" t="s">
        <v>181</v>
      </c>
      <c r="B1888" s="83">
        <v>475</v>
      </c>
      <c r="C1888" s="57">
        <v>154</v>
      </c>
      <c r="D1888" s="61">
        <v>0.32419999999999999</v>
      </c>
      <c r="E1888" s="62">
        <v>56773.368275857138</v>
      </c>
      <c r="F1888" s="66">
        <v>0.84360000000000002</v>
      </c>
      <c r="G1888" s="67">
        <v>321</v>
      </c>
      <c r="H1888" s="68">
        <v>0.67579999999999996</v>
      </c>
      <c r="I1888" s="62">
        <v>10524.869279142857</v>
      </c>
      <c r="J1888" s="65">
        <v>0.15640000000000001</v>
      </c>
      <c r="K1888" s="3" t="s">
        <v>11</v>
      </c>
    </row>
    <row r="1889" spans="1:11" ht="17.25" thickTop="1" thickBot="1">
      <c r="A1889" s="34" t="s">
        <v>175</v>
      </c>
      <c r="B1889" s="84">
        <f>SUM(B1884:B1888)</f>
        <v>598570</v>
      </c>
      <c r="C1889" s="70">
        <f>SUM(C1884:C1888)</f>
        <v>18663</v>
      </c>
      <c r="D1889" s="71">
        <v>3.1199999999999999E-2</v>
      </c>
      <c r="E1889" s="72">
        <f>SUM(E1884:E1888)</f>
        <v>10470037.461717142</v>
      </c>
      <c r="F1889" s="73">
        <v>0.44529999999999997</v>
      </c>
      <c r="G1889" s="74">
        <f>SUM(G1884:G1888)</f>
        <v>579907</v>
      </c>
      <c r="H1889" s="75">
        <v>0.96879999999999999</v>
      </c>
      <c r="I1889" s="74">
        <f>SUM(I1884:I1888)</f>
        <v>13040159.022055002</v>
      </c>
      <c r="J1889" s="76">
        <v>0.55469999999999997</v>
      </c>
      <c r="K1889" s="3" t="s">
        <v>12</v>
      </c>
    </row>
    <row r="1890" spans="1:11" ht="17.25" thickTop="1" thickBot="1">
      <c r="A1890" s="1" t="s">
        <v>197</v>
      </c>
      <c r="B1890" s="97"/>
      <c r="C1890" s="98" t="s">
        <v>179</v>
      </c>
      <c r="D1890" s="99"/>
      <c r="E1890" s="99"/>
      <c r="F1890" s="100"/>
      <c r="G1890" s="101" t="s">
        <v>180</v>
      </c>
      <c r="H1890" s="102"/>
      <c r="I1890" s="102"/>
      <c r="J1890" s="100"/>
      <c r="K1890" s="3" t="s">
        <v>13</v>
      </c>
    </row>
    <row r="1891" spans="1:11" ht="15.75" thickTop="1">
      <c r="B1891" s="42" t="s">
        <v>4</v>
      </c>
      <c r="C1891" s="43" t="s">
        <v>5</v>
      </c>
      <c r="D1891" s="44"/>
      <c r="E1891" s="43" t="s">
        <v>6</v>
      </c>
      <c r="F1891" s="45"/>
      <c r="G1891" s="43" t="s">
        <v>7</v>
      </c>
      <c r="H1891" s="46"/>
      <c r="I1891" s="47" t="s">
        <v>6</v>
      </c>
      <c r="J1891" s="48"/>
    </row>
    <row r="1892" spans="1:11" ht="15.75" thickBot="1">
      <c r="B1892" s="49" t="s">
        <v>8</v>
      </c>
      <c r="C1892" s="50" t="s">
        <v>8</v>
      </c>
      <c r="D1892" s="51" t="s">
        <v>9</v>
      </c>
      <c r="E1892" s="50" t="s">
        <v>8</v>
      </c>
      <c r="F1892" s="52" t="s">
        <v>9</v>
      </c>
      <c r="G1892" s="53" t="s">
        <v>8</v>
      </c>
      <c r="H1892" s="54" t="s">
        <v>9</v>
      </c>
      <c r="I1892" s="53" t="s">
        <v>8</v>
      </c>
      <c r="J1892" s="55" t="s">
        <v>9</v>
      </c>
      <c r="K1892" s="22"/>
    </row>
    <row r="1893" spans="1:11" ht="16.5" thickTop="1">
      <c r="C1893" s="43"/>
      <c r="E1893" s="57"/>
      <c r="F1893" s="58"/>
      <c r="G1893" s="57"/>
      <c r="I1893" s="57"/>
      <c r="K1893" s="1" t="s">
        <v>125</v>
      </c>
    </row>
    <row r="1894" spans="1:11">
      <c r="A1894" s="3" t="s">
        <v>10</v>
      </c>
      <c r="B1894" s="103">
        <v>535952</v>
      </c>
      <c r="C1894" s="57">
        <v>3139</v>
      </c>
      <c r="D1894" s="61">
        <v>5.8568677792041075E-3</v>
      </c>
      <c r="E1894" s="62">
        <v>60284.151774142862</v>
      </c>
      <c r="F1894" s="63">
        <v>5.6513606376507129E-3</v>
      </c>
      <c r="G1894" s="62">
        <v>532813</v>
      </c>
      <c r="H1894" s="64">
        <v>0.99414313222079587</v>
      </c>
      <c r="I1894" s="62">
        <v>10606908.342103431</v>
      </c>
      <c r="J1894" s="65">
        <v>0.99434863936234941</v>
      </c>
    </row>
    <row r="1895" spans="1:11">
      <c r="A1895" s="3" t="s">
        <v>11</v>
      </c>
      <c r="B1895" s="103">
        <v>50029</v>
      </c>
      <c r="C1895" s="57">
        <v>10373</v>
      </c>
      <c r="D1895" s="61">
        <v>0.20733974294908952</v>
      </c>
      <c r="E1895" s="62">
        <v>317970.85158314276</v>
      </c>
      <c r="F1895" s="63">
        <v>0.17933849516871514</v>
      </c>
      <c r="G1895" s="62">
        <v>39656</v>
      </c>
      <c r="H1895" s="64">
        <v>0.79266025705091048</v>
      </c>
      <c r="I1895" s="62">
        <v>1455049.7778361426</v>
      </c>
      <c r="J1895" s="65">
        <v>0.82066150483128486</v>
      </c>
    </row>
    <row r="1896" spans="1:11">
      <c r="A1896" s="3" t="s">
        <v>12</v>
      </c>
      <c r="B1896" s="103">
        <v>11364</v>
      </c>
      <c r="C1896" s="57">
        <v>4170</v>
      </c>
      <c r="D1896" s="61">
        <v>0.36694825765575501</v>
      </c>
      <c r="E1896" s="62">
        <v>3181014.8473731428</v>
      </c>
      <c r="F1896" s="63">
        <v>0.51594923811080429</v>
      </c>
      <c r="G1896" s="62">
        <v>7194</v>
      </c>
      <c r="H1896" s="64">
        <v>0.63305174234424499</v>
      </c>
      <c r="I1896" s="62">
        <v>2984349.1311079999</v>
      </c>
      <c r="J1896" s="65">
        <v>0.48405076188919571</v>
      </c>
    </row>
    <row r="1897" spans="1:11">
      <c r="A1897" s="3" t="s">
        <v>13</v>
      </c>
      <c r="B1897" s="103">
        <v>362</v>
      </c>
      <c r="C1897" s="57">
        <v>301</v>
      </c>
      <c r="D1897" s="61">
        <v>0.83149171270718236</v>
      </c>
      <c r="E1897" s="62">
        <v>7114483.173405</v>
      </c>
      <c r="F1897" s="63">
        <v>0.96849326734469843</v>
      </c>
      <c r="G1897" s="62">
        <v>61</v>
      </c>
      <c r="H1897" s="64">
        <v>0.16850828729281769</v>
      </c>
      <c r="I1897" s="62">
        <v>231446.23394199999</v>
      </c>
      <c r="J1897" s="65">
        <v>3.1506732655301593E-2</v>
      </c>
      <c r="K1897" s="3" t="s">
        <v>10</v>
      </c>
    </row>
    <row r="1898" spans="1:11" ht="15.75" thickBot="1">
      <c r="A1898" s="3" t="s">
        <v>181</v>
      </c>
      <c r="B1898" s="103">
        <v>474</v>
      </c>
      <c r="C1898" s="57">
        <v>148</v>
      </c>
      <c r="D1898" s="61">
        <v>0.31223628691983124</v>
      </c>
      <c r="E1898" s="62">
        <v>45891.827556571414</v>
      </c>
      <c r="F1898" s="66">
        <v>0.84372457571540316</v>
      </c>
      <c r="G1898" s="67">
        <v>326</v>
      </c>
      <c r="H1898" s="68">
        <v>0.68776371308016881</v>
      </c>
      <c r="I1898" s="62">
        <v>8500.1255492857144</v>
      </c>
      <c r="J1898" s="65">
        <v>0.15627542428459679</v>
      </c>
      <c r="K1898" s="3" t="s">
        <v>11</v>
      </c>
    </row>
    <row r="1899" spans="1:11" ht="17.25" thickTop="1" thickBot="1">
      <c r="A1899" s="34" t="s">
        <v>175</v>
      </c>
      <c r="B1899" s="84">
        <v>598181</v>
      </c>
      <c r="C1899" s="70">
        <v>18131</v>
      </c>
      <c r="D1899" s="71">
        <v>3.0310223828573627E-2</v>
      </c>
      <c r="E1899" s="72">
        <v>10719644.851692</v>
      </c>
      <c r="F1899" s="73">
        <v>0.41220051932681584</v>
      </c>
      <c r="G1899" s="74">
        <v>580050</v>
      </c>
      <c r="H1899" s="75">
        <v>0.96968977617142638</v>
      </c>
      <c r="I1899" s="74">
        <v>15286253.610538861</v>
      </c>
      <c r="J1899" s="76">
        <v>0.58779948067318433</v>
      </c>
      <c r="K1899" s="3" t="s">
        <v>12</v>
      </c>
    </row>
    <row r="1900" spans="1:11" ht="17.25" thickTop="1" thickBot="1">
      <c r="A1900" s="1" t="s">
        <v>198</v>
      </c>
      <c r="B1900" s="97"/>
      <c r="C1900" s="98" t="s">
        <v>179</v>
      </c>
      <c r="D1900" s="99"/>
      <c r="E1900" s="99"/>
      <c r="F1900" s="100"/>
      <c r="G1900" s="101" t="s">
        <v>180</v>
      </c>
      <c r="H1900" s="102"/>
      <c r="I1900" s="102"/>
      <c r="J1900" s="100"/>
      <c r="K1900" s="3" t="s">
        <v>13</v>
      </c>
    </row>
    <row r="1901" spans="1:11" ht="15.75" thickTop="1">
      <c r="B1901" s="42" t="s">
        <v>4</v>
      </c>
      <c r="C1901" s="43" t="s">
        <v>5</v>
      </c>
      <c r="D1901" s="44"/>
      <c r="E1901" s="43" t="s">
        <v>6</v>
      </c>
      <c r="F1901" s="45"/>
      <c r="G1901" s="43" t="s">
        <v>7</v>
      </c>
      <c r="H1901" s="46"/>
      <c r="I1901" s="47" t="s">
        <v>6</v>
      </c>
      <c r="J1901" s="48"/>
    </row>
    <row r="1902" spans="1:11" ht="15.75" thickBot="1">
      <c r="B1902" s="49" t="s">
        <v>8</v>
      </c>
      <c r="C1902" s="50" t="s">
        <v>8</v>
      </c>
      <c r="D1902" s="51" t="s">
        <v>9</v>
      </c>
      <c r="E1902" s="50" t="s">
        <v>8</v>
      </c>
      <c r="F1902" s="52" t="s">
        <v>9</v>
      </c>
      <c r="G1902" s="53" t="s">
        <v>8</v>
      </c>
      <c r="H1902" s="54" t="s">
        <v>9</v>
      </c>
      <c r="I1902" s="53" t="s">
        <v>8</v>
      </c>
      <c r="J1902" s="55" t="s">
        <v>9</v>
      </c>
      <c r="K1902" s="22"/>
    </row>
    <row r="1903" spans="1:11" ht="16.5" thickTop="1">
      <c r="C1903" s="43"/>
      <c r="E1903" s="57"/>
      <c r="F1903" s="58"/>
      <c r="G1903" s="57"/>
      <c r="I1903" s="57"/>
      <c r="K1903" s="1" t="s">
        <v>125</v>
      </c>
    </row>
    <row r="1904" spans="1:11">
      <c r="A1904" s="3" t="s">
        <v>10</v>
      </c>
      <c r="B1904" s="103">
        <v>535871</v>
      </c>
      <c r="C1904" s="57">
        <v>2627</v>
      </c>
      <c r="D1904" s="61">
        <v>4.8512778953147262E-3</v>
      </c>
      <c r="E1904" s="62">
        <v>52422</v>
      </c>
      <c r="F1904" s="63">
        <v>4.7880237641309831E-3</v>
      </c>
      <c r="G1904" s="62">
        <v>533244</v>
      </c>
      <c r="H1904" s="64">
        <v>0.9951487221046853</v>
      </c>
      <c r="I1904" s="62">
        <v>10895047</v>
      </c>
      <c r="J1904" s="65">
        <v>0.99521197623586899</v>
      </c>
    </row>
    <row r="1905" spans="1:11">
      <c r="A1905" s="3" t="s">
        <v>11</v>
      </c>
      <c r="B1905" s="103">
        <v>50042</v>
      </c>
      <c r="C1905" s="57">
        <v>10039</v>
      </c>
      <c r="D1905" s="61">
        <v>0.2006</v>
      </c>
      <c r="E1905" s="62">
        <v>311103</v>
      </c>
      <c r="F1905" s="63">
        <v>0.17269999999999999</v>
      </c>
      <c r="G1905" s="62">
        <v>40003</v>
      </c>
      <c r="H1905" s="64">
        <v>0.7994</v>
      </c>
      <c r="I1905" s="62">
        <v>1490596</v>
      </c>
      <c r="J1905" s="65">
        <v>0.82730000000000004</v>
      </c>
    </row>
    <row r="1906" spans="1:11">
      <c r="A1906" s="3" t="s">
        <v>12</v>
      </c>
      <c r="B1906" s="103">
        <v>11373</v>
      </c>
      <c r="C1906" s="57">
        <v>4112</v>
      </c>
      <c r="D1906" s="61">
        <v>0.36159999999999998</v>
      </c>
      <c r="E1906" s="62">
        <v>3276749</v>
      </c>
      <c r="F1906" s="63">
        <v>0.51939999999999997</v>
      </c>
      <c r="G1906" s="62">
        <v>7261</v>
      </c>
      <c r="H1906" s="64">
        <v>0.63839999999999997</v>
      </c>
      <c r="I1906" s="62">
        <v>3031516</v>
      </c>
      <c r="J1906" s="65">
        <v>0.48060000000000003</v>
      </c>
    </row>
    <row r="1907" spans="1:11">
      <c r="A1907" s="3" t="s">
        <v>13</v>
      </c>
      <c r="B1907" s="103">
        <v>360</v>
      </c>
      <c r="C1907" s="57">
        <v>301</v>
      </c>
      <c r="D1907" s="61">
        <v>0.83609999999999995</v>
      </c>
      <c r="E1907" s="62">
        <v>6691567</v>
      </c>
      <c r="F1907" s="63">
        <v>0.96650000000000003</v>
      </c>
      <c r="G1907" s="62">
        <v>59</v>
      </c>
      <c r="H1907" s="64">
        <v>0.16389999999999999</v>
      </c>
      <c r="I1907" s="62">
        <v>231783</v>
      </c>
      <c r="J1907" s="65">
        <v>3.3500000000000002E-2</v>
      </c>
      <c r="K1907" s="3" t="s">
        <v>10</v>
      </c>
    </row>
    <row r="1908" spans="1:11" ht="15.75" thickBot="1">
      <c r="A1908" s="3" t="s">
        <v>181</v>
      </c>
      <c r="B1908" s="103">
        <v>474</v>
      </c>
      <c r="C1908" s="57">
        <v>145</v>
      </c>
      <c r="D1908" s="61">
        <v>0.30590000000000001</v>
      </c>
      <c r="E1908" s="62">
        <v>45127</v>
      </c>
      <c r="F1908" s="66">
        <v>0.84219999999999995</v>
      </c>
      <c r="G1908" s="67">
        <v>329</v>
      </c>
      <c r="H1908" s="68">
        <v>0.69410000000000005</v>
      </c>
      <c r="I1908" s="62">
        <v>8457</v>
      </c>
      <c r="J1908" s="65">
        <v>0.1578</v>
      </c>
      <c r="K1908" s="3" t="s">
        <v>11</v>
      </c>
    </row>
    <row r="1909" spans="1:11" ht="17.25" thickTop="1" thickBot="1">
      <c r="A1909" s="34" t="s">
        <v>175</v>
      </c>
      <c r="B1909" s="84">
        <f>SUM(B1904:B1908)</f>
        <v>598120</v>
      </c>
      <c r="C1909" s="70">
        <f>SUM(C1904:C1908)</f>
        <v>17224</v>
      </c>
      <c r="D1909" s="71">
        <f>C1909/B1909</f>
        <v>2.8796896943757106E-2</v>
      </c>
      <c r="E1909" s="72">
        <f>SUM(E1904:E1908)</f>
        <v>10376968</v>
      </c>
      <c r="F1909" s="73">
        <v>0.39860000000000001</v>
      </c>
      <c r="G1909" s="74">
        <f>SUM(G1904:G1908)</f>
        <v>580896</v>
      </c>
      <c r="H1909" s="75">
        <f>G1909/B1909</f>
        <v>0.97120310305624291</v>
      </c>
      <c r="I1909" s="74">
        <f>SUM(I1904:I1908)</f>
        <v>15657399</v>
      </c>
      <c r="J1909" s="76">
        <v>0.60140000000000005</v>
      </c>
      <c r="K1909" s="3" t="s">
        <v>12</v>
      </c>
    </row>
    <row r="1910" spans="1:11" ht="17.25" thickTop="1" thickBot="1">
      <c r="A1910" s="1" t="s">
        <v>199</v>
      </c>
      <c r="B1910" s="97"/>
      <c r="C1910" s="164" t="s">
        <v>179</v>
      </c>
      <c r="D1910" s="166"/>
      <c r="E1910" s="166"/>
      <c r="F1910" s="167"/>
      <c r="G1910" s="168" t="s">
        <v>180</v>
      </c>
      <c r="H1910" s="166"/>
      <c r="I1910" s="166"/>
      <c r="J1910" s="167"/>
      <c r="K1910" s="3" t="s">
        <v>13</v>
      </c>
    </row>
    <row r="1911" spans="1:11" ht="15.75" thickTop="1">
      <c r="B1911" s="42" t="s">
        <v>4</v>
      </c>
      <c r="C1911" s="43" t="s">
        <v>5</v>
      </c>
      <c r="D1911" s="44"/>
      <c r="E1911" s="169" t="s">
        <v>6</v>
      </c>
      <c r="F1911" s="170"/>
      <c r="G1911" s="43" t="s">
        <v>7</v>
      </c>
      <c r="H1911" s="46"/>
      <c r="I1911" s="169" t="s">
        <v>6</v>
      </c>
      <c r="J1911" s="171"/>
    </row>
    <row r="1912" spans="1:11" ht="15.75" thickBot="1">
      <c r="B1912" s="49" t="s">
        <v>8</v>
      </c>
      <c r="C1912" s="50" t="s">
        <v>8</v>
      </c>
      <c r="D1912" s="51" t="s">
        <v>9</v>
      </c>
      <c r="E1912" s="50" t="s">
        <v>8</v>
      </c>
      <c r="F1912" s="52" t="s">
        <v>9</v>
      </c>
      <c r="G1912" s="53" t="s">
        <v>8</v>
      </c>
      <c r="H1912" s="54" t="s">
        <v>9</v>
      </c>
      <c r="I1912" s="53" t="s">
        <v>8</v>
      </c>
      <c r="J1912" s="55" t="s">
        <v>9</v>
      </c>
      <c r="K1912" s="22"/>
    </row>
    <row r="1913" spans="1:11" ht="16.5" thickTop="1">
      <c r="C1913" s="43"/>
      <c r="E1913" s="57"/>
      <c r="F1913" s="58"/>
      <c r="G1913" s="57"/>
      <c r="I1913" s="57"/>
      <c r="K1913" s="1" t="s">
        <v>125</v>
      </c>
    </row>
    <row r="1914" spans="1:11">
      <c r="A1914" s="3" t="s">
        <v>10</v>
      </c>
      <c r="B1914" s="103">
        <v>535761</v>
      </c>
      <c r="C1914" s="57">
        <v>2598</v>
      </c>
      <c r="D1914" s="61">
        <v>4.8512778953147262E-3</v>
      </c>
      <c r="E1914" s="62">
        <v>46575</v>
      </c>
      <c r="F1914" s="63">
        <v>4.7880237641309831E-3</v>
      </c>
      <c r="G1914" s="62">
        <v>533163</v>
      </c>
      <c r="H1914" s="64">
        <v>0.9951487221046853</v>
      </c>
      <c r="I1914" s="62">
        <v>9735807</v>
      </c>
      <c r="J1914" s="65">
        <v>0.99521197623586899</v>
      </c>
    </row>
    <row r="1915" spans="1:11">
      <c r="A1915" s="3" t="s">
        <v>11</v>
      </c>
      <c r="B1915" s="103">
        <v>49619</v>
      </c>
      <c r="C1915" s="57">
        <v>9278</v>
      </c>
      <c r="D1915" s="61">
        <v>0.18635761057325353</v>
      </c>
      <c r="E1915" s="62">
        <v>287554</v>
      </c>
      <c r="F1915" s="63">
        <v>0.17249999999999999</v>
      </c>
      <c r="G1915" s="62">
        <v>40341</v>
      </c>
      <c r="H1915" s="64">
        <v>0.81364238942674649</v>
      </c>
      <c r="I1915" s="62">
        <v>1379610</v>
      </c>
      <c r="J1915" s="65">
        <v>0.82750000000000001</v>
      </c>
    </row>
    <row r="1916" spans="1:11">
      <c r="A1916" s="3" t="s">
        <v>12</v>
      </c>
      <c r="B1916" s="103">
        <v>11331</v>
      </c>
      <c r="C1916" s="57">
        <v>4015</v>
      </c>
      <c r="D1916" s="61">
        <v>0.35368217054263568</v>
      </c>
      <c r="E1916" s="62">
        <v>3330501</v>
      </c>
      <c r="F1916" s="63">
        <v>0.53159999999999996</v>
      </c>
      <c r="G1916" s="62">
        <v>7316</v>
      </c>
      <c r="H1916" s="64">
        <v>0.64631782945736438</v>
      </c>
      <c r="I1916" s="62">
        <v>2934084</v>
      </c>
      <c r="J1916" s="65">
        <v>0.46839999999999998</v>
      </c>
    </row>
    <row r="1917" spans="1:11">
      <c r="A1917" s="3" t="s">
        <v>13</v>
      </c>
      <c r="B1917" s="103">
        <v>359</v>
      </c>
      <c r="C1917" s="57">
        <v>301</v>
      </c>
      <c r="D1917" s="61">
        <v>0.83379501385041555</v>
      </c>
      <c r="E1917" s="62">
        <v>6359340</v>
      </c>
      <c r="F1917" s="63">
        <v>0.96560000000000001</v>
      </c>
      <c r="G1917" s="62">
        <v>58</v>
      </c>
      <c r="H1917" s="64">
        <v>0.16620498614958448</v>
      </c>
      <c r="I1917" s="62">
        <v>226320</v>
      </c>
      <c r="J1917" s="65">
        <v>3.44E-2</v>
      </c>
      <c r="K1917" s="3" t="s">
        <v>10</v>
      </c>
    </row>
    <row r="1918" spans="1:11" ht="15.75" thickBot="1">
      <c r="A1918" s="3" t="s">
        <v>181</v>
      </c>
      <c r="B1918" s="103">
        <v>472</v>
      </c>
      <c r="C1918" s="57">
        <v>139</v>
      </c>
      <c r="D1918" s="61">
        <v>0.29386892177589852</v>
      </c>
      <c r="E1918" s="62">
        <v>54879</v>
      </c>
      <c r="F1918" s="66">
        <v>0.84509999999999996</v>
      </c>
      <c r="G1918" s="67">
        <v>333</v>
      </c>
      <c r="H1918" s="68">
        <v>0.70550000000000002</v>
      </c>
      <c r="I1918" s="62">
        <v>10060</v>
      </c>
      <c r="J1918" s="65">
        <v>0.15490000000000001</v>
      </c>
      <c r="K1918" s="3" t="s">
        <v>11</v>
      </c>
    </row>
    <row r="1919" spans="1:11" ht="17.25" thickTop="1" thickBot="1">
      <c r="A1919" s="34" t="s">
        <v>175</v>
      </c>
      <c r="B1919" s="84">
        <f>SUM(B1914:B1918)</f>
        <v>597542</v>
      </c>
      <c r="C1919" s="70">
        <f>SUM(C1914:C1918)</f>
        <v>16331</v>
      </c>
      <c r="D1919" s="71">
        <f>C1919/B1919</f>
        <v>2.7330296447781077E-2</v>
      </c>
      <c r="E1919" s="72">
        <f>SUM(E1914:E1918)</f>
        <v>10078849</v>
      </c>
      <c r="F1919" s="73">
        <v>0.4138</v>
      </c>
      <c r="G1919" s="74">
        <f>SUM(G1914:G1918)</f>
        <v>581211</v>
      </c>
      <c r="H1919" s="75">
        <f>G1919/B1919</f>
        <v>0.97266970355221893</v>
      </c>
      <c r="I1919" s="74">
        <f>SUM(I1914:I1918)</f>
        <v>14285881</v>
      </c>
      <c r="J1919" s="76">
        <v>0.58620000000000005</v>
      </c>
      <c r="K1919" s="3" t="s">
        <v>12</v>
      </c>
    </row>
    <row r="1920" spans="1:11" ht="17.25" thickTop="1" thickBot="1">
      <c r="A1920" s="1" t="s">
        <v>200</v>
      </c>
      <c r="B1920" s="97"/>
      <c r="C1920" s="164" t="s">
        <v>179</v>
      </c>
      <c r="D1920" s="166"/>
      <c r="E1920" s="166"/>
      <c r="F1920" s="167"/>
      <c r="G1920" s="168" t="s">
        <v>180</v>
      </c>
      <c r="H1920" s="166"/>
      <c r="I1920" s="166"/>
      <c r="J1920" s="167"/>
      <c r="K1920" s="3" t="s">
        <v>13</v>
      </c>
    </row>
    <row r="1921" spans="1:11" ht="15.75" thickTop="1">
      <c r="B1921" s="42" t="s">
        <v>4</v>
      </c>
      <c r="C1921" s="43" t="s">
        <v>5</v>
      </c>
      <c r="D1921" s="44"/>
      <c r="E1921" s="169" t="s">
        <v>6</v>
      </c>
      <c r="F1921" s="170"/>
      <c r="G1921" s="43" t="s">
        <v>7</v>
      </c>
      <c r="H1921" s="46"/>
      <c r="I1921" s="169" t="s">
        <v>6</v>
      </c>
      <c r="J1921" s="171"/>
    </row>
    <row r="1922" spans="1:11" ht="15.75" thickBot="1">
      <c r="B1922" s="49" t="s">
        <v>8</v>
      </c>
      <c r="C1922" s="50" t="s">
        <v>8</v>
      </c>
      <c r="D1922" s="51" t="s">
        <v>9</v>
      </c>
      <c r="E1922" s="50" t="s">
        <v>8</v>
      </c>
      <c r="F1922" s="52" t="s">
        <v>9</v>
      </c>
      <c r="G1922" s="53" t="s">
        <v>8</v>
      </c>
      <c r="H1922" s="54" t="s">
        <v>9</v>
      </c>
      <c r="I1922" s="53" t="s">
        <v>8</v>
      </c>
      <c r="J1922" s="55" t="s">
        <v>9</v>
      </c>
      <c r="K1922" s="22"/>
    </row>
    <row r="1923" spans="1:11" ht="16.5" thickTop="1">
      <c r="C1923" s="43"/>
      <c r="E1923" s="57"/>
      <c r="F1923" s="58"/>
      <c r="G1923" s="57"/>
      <c r="I1923" s="57"/>
      <c r="K1923" s="1" t="s">
        <v>125</v>
      </c>
    </row>
    <row r="1924" spans="1:11">
      <c r="A1924" s="3" t="s">
        <v>10</v>
      </c>
      <c r="B1924" s="103">
        <v>535529</v>
      </c>
      <c r="C1924" s="57">
        <v>2598</v>
      </c>
      <c r="D1924" s="61">
        <v>4.8512778953147262E-3</v>
      </c>
      <c r="E1924" s="62">
        <v>44098.411280285705</v>
      </c>
      <c r="F1924" s="63">
        <v>4.7880237641309831E-3</v>
      </c>
      <c r="G1924" s="62">
        <v>532931</v>
      </c>
      <c r="H1924" s="64">
        <v>0.9951487221046853</v>
      </c>
      <c r="I1924" s="62">
        <v>9166050.3792592864</v>
      </c>
      <c r="J1924" s="65">
        <v>0.99521197623586899</v>
      </c>
    </row>
    <row r="1925" spans="1:11">
      <c r="A1925" s="3" t="s">
        <v>11</v>
      </c>
      <c r="B1925" s="103">
        <v>49786</v>
      </c>
      <c r="C1925" s="57">
        <v>9278</v>
      </c>
      <c r="D1925" s="61">
        <v>0.18635761057325353</v>
      </c>
      <c r="E1925" s="62">
        <v>254374.14284242856</v>
      </c>
      <c r="F1925" s="63">
        <v>0.16897890295685664</v>
      </c>
      <c r="G1925" s="62">
        <v>40508</v>
      </c>
      <c r="H1925" s="64">
        <v>0.81364238942674649</v>
      </c>
      <c r="I1925" s="62">
        <v>1250986.2210331426</v>
      </c>
      <c r="J1925" s="65">
        <v>0.83102109704314342</v>
      </c>
    </row>
    <row r="1926" spans="1:11">
      <c r="A1926" s="3" t="s">
        <v>12</v>
      </c>
      <c r="B1926" s="103">
        <v>11352</v>
      </c>
      <c r="C1926" s="57">
        <v>4015</v>
      </c>
      <c r="D1926" s="61">
        <v>0.35368217054263568</v>
      </c>
      <c r="E1926" s="62">
        <v>3008900.2315744287</v>
      </c>
      <c r="F1926" s="63">
        <v>0.53733105241044021</v>
      </c>
      <c r="G1926" s="62">
        <v>7337</v>
      </c>
      <c r="H1926" s="64">
        <v>0.64631782945736438</v>
      </c>
      <c r="I1926" s="62">
        <v>2590813.7958890004</v>
      </c>
      <c r="J1926" s="65">
        <v>0.4626689475895599</v>
      </c>
    </row>
    <row r="1927" spans="1:11">
      <c r="A1927" s="3" t="s">
        <v>13</v>
      </c>
      <c r="B1927" s="103">
        <v>361</v>
      </c>
      <c r="C1927" s="57">
        <v>301</v>
      </c>
      <c r="D1927" s="61">
        <v>0.83379501385041555</v>
      </c>
      <c r="E1927" s="62">
        <v>6619993.2390110018</v>
      </c>
      <c r="F1927" s="63">
        <v>0.96634519480850611</v>
      </c>
      <c r="G1927" s="62">
        <v>60</v>
      </c>
      <c r="H1927" s="64">
        <v>0.16620498614958448</v>
      </c>
      <c r="I1927" s="62">
        <v>230553.82696042856</v>
      </c>
      <c r="J1927" s="65">
        <v>3.3654805191493893E-2</v>
      </c>
      <c r="K1927" s="3" t="s">
        <v>10</v>
      </c>
    </row>
    <row r="1928" spans="1:11" ht="15.75" thickBot="1">
      <c r="A1928" s="3" t="s">
        <v>181</v>
      </c>
      <c r="B1928" s="103">
        <v>473</v>
      </c>
      <c r="C1928" s="57">
        <v>139</v>
      </c>
      <c r="D1928" s="61">
        <v>0.29386892177589852</v>
      </c>
      <c r="E1928" s="62">
        <v>49417.546521000004</v>
      </c>
      <c r="F1928" s="66">
        <v>0.84136906668253519</v>
      </c>
      <c r="G1928" s="67">
        <v>334</v>
      </c>
      <c r="H1928" s="68">
        <v>0.70613107822410148</v>
      </c>
      <c r="I1928" s="62">
        <v>9317.137790428571</v>
      </c>
      <c r="J1928" s="104">
        <v>0.15863093331746478</v>
      </c>
      <c r="K1928" s="3" t="s">
        <v>11</v>
      </c>
    </row>
    <row r="1929" spans="1:11" ht="17.25" thickTop="1" thickBot="1">
      <c r="A1929" s="34" t="s">
        <v>175</v>
      </c>
      <c r="B1929" s="84">
        <f>SUM(B1924:B1928)</f>
        <v>597501</v>
      </c>
      <c r="C1929" s="70">
        <f>SUM(C1924:C1928)</f>
        <v>16331</v>
      </c>
      <c r="D1929" s="71">
        <f>C1929/B1929</f>
        <v>2.7332171829001124E-2</v>
      </c>
      <c r="E1929" s="72">
        <f>SUM(E1924:E1928)</f>
        <v>9976783.5712291449</v>
      </c>
      <c r="F1929" s="73">
        <v>0.42980000000000002</v>
      </c>
      <c r="G1929" s="74">
        <f>SUM(G1924:G1928)</f>
        <v>581170</v>
      </c>
      <c r="H1929" s="75">
        <f>G1929/B1929</f>
        <v>0.97266782817099884</v>
      </c>
      <c r="I1929" s="74">
        <f>SUM(I1924:I1928)</f>
        <v>13247721.360932287</v>
      </c>
      <c r="J1929" s="76">
        <v>0.57020000000000004</v>
      </c>
      <c r="K1929" s="3" t="s">
        <v>12</v>
      </c>
    </row>
    <row r="1930" spans="1:11" ht="17.25" thickTop="1" thickBot="1">
      <c r="A1930" s="1" t="s">
        <v>201</v>
      </c>
      <c r="B1930" s="97"/>
      <c r="C1930" s="164" t="s">
        <v>179</v>
      </c>
      <c r="D1930" s="165"/>
      <c r="E1930" s="166"/>
      <c r="F1930" s="167"/>
      <c r="G1930" s="168" t="s">
        <v>180</v>
      </c>
      <c r="H1930" s="166"/>
      <c r="I1930" s="166"/>
      <c r="J1930" s="167"/>
      <c r="K1930" s="3" t="s">
        <v>13</v>
      </c>
    </row>
    <row r="1931" spans="1:11" ht="15.75" thickTop="1">
      <c r="B1931" s="42" t="s">
        <v>4</v>
      </c>
      <c r="C1931" s="43" t="s">
        <v>5</v>
      </c>
      <c r="D1931" s="44"/>
      <c r="E1931" s="169" t="s">
        <v>6</v>
      </c>
      <c r="F1931" s="170"/>
      <c r="G1931" s="43" t="s">
        <v>7</v>
      </c>
      <c r="H1931" s="46"/>
      <c r="I1931" s="169" t="s">
        <v>6</v>
      </c>
      <c r="J1931" s="171"/>
    </row>
    <row r="1932" spans="1:11" ht="15.75" thickBot="1">
      <c r="B1932" s="49" t="s">
        <v>8</v>
      </c>
      <c r="C1932" s="50" t="s">
        <v>8</v>
      </c>
      <c r="D1932" s="51" t="s">
        <v>9</v>
      </c>
      <c r="E1932" s="50" t="s">
        <v>8</v>
      </c>
      <c r="F1932" s="52" t="s">
        <v>9</v>
      </c>
      <c r="G1932" s="53" t="s">
        <v>8</v>
      </c>
      <c r="H1932" s="54" t="s">
        <v>9</v>
      </c>
      <c r="I1932" s="53" t="s">
        <v>8</v>
      </c>
      <c r="J1932" s="55" t="s">
        <v>9</v>
      </c>
      <c r="K1932" s="22"/>
    </row>
    <row r="1933" spans="1:11" ht="16.5" thickTop="1">
      <c r="C1933" s="43"/>
      <c r="E1933" s="57"/>
      <c r="F1933" s="58"/>
      <c r="G1933" s="57"/>
      <c r="I1933" s="57"/>
      <c r="K1933" s="1" t="s">
        <v>125</v>
      </c>
    </row>
    <row r="1934" spans="1:11">
      <c r="A1934" s="3" t="s">
        <v>10</v>
      </c>
      <c r="B1934" s="103">
        <v>536134</v>
      </c>
      <c r="C1934" s="57">
        <v>2580</v>
      </c>
      <c r="D1934" s="61">
        <v>4.8122297783763012E-3</v>
      </c>
      <c r="E1934" s="62">
        <v>40519.456198571417</v>
      </c>
      <c r="F1934" s="63">
        <v>4.7497736732126181E-3</v>
      </c>
      <c r="G1934" s="62">
        <v>533554</v>
      </c>
      <c r="H1934" s="64">
        <v>0.99518777022162375</v>
      </c>
      <c r="I1934" s="62">
        <v>8490298.8493324276</v>
      </c>
      <c r="J1934" s="65">
        <v>0.99525022632678739</v>
      </c>
    </row>
    <row r="1935" spans="1:11">
      <c r="A1935" s="3" t="s">
        <v>11</v>
      </c>
      <c r="B1935" s="103">
        <v>50051</v>
      </c>
      <c r="C1935" s="57">
        <v>8666</v>
      </c>
      <c r="D1935" s="61">
        <v>0.17314339373838686</v>
      </c>
      <c r="E1935" s="62">
        <v>209118.33203200001</v>
      </c>
      <c r="F1935" s="63">
        <v>0.15270974303125531</v>
      </c>
      <c r="G1935" s="62">
        <v>41385</v>
      </c>
      <c r="H1935" s="64">
        <v>0.82685660626161317</v>
      </c>
      <c r="I1935" s="62">
        <v>1160266.0168710002</v>
      </c>
      <c r="J1935" s="65">
        <v>0.84729025696874471</v>
      </c>
    </row>
    <row r="1936" spans="1:11">
      <c r="A1936" s="3" t="s">
        <v>12</v>
      </c>
      <c r="B1936" s="103">
        <v>11275</v>
      </c>
      <c r="C1936" s="57">
        <v>3889</v>
      </c>
      <c r="D1936" s="61">
        <v>0.34492239467849223</v>
      </c>
      <c r="E1936" s="62">
        <v>2732413.1291725715</v>
      </c>
      <c r="F1936" s="63">
        <v>0.53457251814894058</v>
      </c>
      <c r="G1936" s="62">
        <v>7386</v>
      </c>
      <c r="H1936" s="64">
        <v>0.65507760532150772</v>
      </c>
      <c r="I1936" s="62">
        <v>2378985.2993027149</v>
      </c>
      <c r="J1936" s="65">
        <v>0.46542748185105937</v>
      </c>
    </row>
    <row r="1937" spans="1:11">
      <c r="A1937" s="3" t="s">
        <v>13</v>
      </c>
      <c r="B1937" s="103">
        <v>362</v>
      </c>
      <c r="C1937" s="57">
        <v>301</v>
      </c>
      <c r="D1937" s="61">
        <v>0.83149171270718236</v>
      </c>
      <c r="E1937" s="62">
        <v>5879117.4049477139</v>
      </c>
      <c r="F1937" s="63">
        <v>0.95371861071665331</v>
      </c>
      <c r="G1937" s="62">
        <v>61</v>
      </c>
      <c r="H1937" s="64">
        <v>0.16850828729281769</v>
      </c>
      <c r="I1937" s="62">
        <v>285297.69494214287</v>
      </c>
      <c r="J1937" s="65">
        <v>4.6281389283346679E-2</v>
      </c>
      <c r="K1937" s="3" t="s">
        <v>10</v>
      </c>
    </row>
    <row r="1938" spans="1:11" ht="15.75" thickBot="1">
      <c r="A1938" s="3" t="s">
        <v>181</v>
      </c>
      <c r="B1938" s="103">
        <v>467</v>
      </c>
      <c r="C1938" s="57">
        <v>128</v>
      </c>
      <c r="D1938" s="61">
        <v>0.27408993576017132</v>
      </c>
      <c r="E1938" s="62">
        <v>59898.479112428569</v>
      </c>
      <c r="F1938" s="66">
        <v>0.84172341209596679</v>
      </c>
      <c r="G1938" s="67">
        <v>339</v>
      </c>
      <c r="H1938" s="68">
        <v>0.72591006423982873</v>
      </c>
      <c r="I1938" s="62">
        <v>11263.232979285714</v>
      </c>
      <c r="J1938" s="104">
        <v>0.15827658790403315</v>
      </c>
      <c r="K1938" s="3" t="s">
        <v>11</v>
      </c>
    </row>
    <row r="1939" spans="1:11" ht="17.25" thickTop="1" thickBot="1">
      <c r="A1939" s="34" t="s">
        <v>175</v>
      </c>
      <c r="B1939" s="84">
        <f>SUM(B1934:B1938)</f>
        <v>598289</v>
      </c>
      <c r="C1939" s="70">
        <f>SUM(C1934:C1938)</f>
        <v>15564</v>
      </c>
      <c r="D1939" s="71">
        <f>C1939/B1939</f>
        <v>2.6014183780748101E-2</v>
      </c>
      <c r="E1939" s="72">
        <f>SUM(E1934:E1938)</f>
        <v>8921066.8014632836</v>
      </c>
      <c r="F1939" s="73">
        <v>0.42009324200703757</v>
      </c>
      <c r="G1939" s="74">
        <f>SUM(G1934:G1938)</f>
        <v>582725</v>
      </c>
      <c r="H1939" s="75">
        <f>G1939/B1939</f>
        <v>0.97398581621925195</v>
      </c>
      <c r="I1939" s="74">
        <f>SUM(I1934:I1938)</f>
        <v>12326111.093427572</v>
      </c>
      <c r="J1939" s="76">
        <v>0.57990675799296243</v>
      </c>
      <c r="K1939" s="3" t="s">
        <v>12</v>
      </c>
    </row>
    <row r="1940" spans="1:11" ht="17.25" thickTop="1" thickBot="1">
      <c r="A1940" s="1" t="s">
        <v>202</v>
      </c>
      <c r="B1940" s="97"/>
      <c r="C1940" s="164" t="s">
        <v>179</v>
      </c>
      <c r="D1940" s="165"/>
      <c r="E1940" s="166"/>
      <c r="F1940" s="167"/>
      <c r="G1940" s="168" t="s">
        <v>180</v>
      </c>
      <c r="H1940" s="166"/>
      <c r="I1940" s="166"/>
      <c r="J1940" s="167"/>
      <c r="K1940" s="3" t="s">
        <v>13</v>
      </c>
    </row>
    <row r="1941" spans="1:11" ht="15.75" thickTop="1">
      <c r="B1941" s="42" t="s">
        <v>4</v>
      </c>
      <c r="C1941" s="43" t="s">
        <v>5</v>
      </c>
      <c r="D1941" s="44"/>
      <c r="E1941" s="169" t="s">
        <v>6</v>
      </c>
      <c r="F1941" s="170"/>
      <c r="G1941" s="43" t="s">
        <v>7</v>
      </c>
      <c r="H1941" s="46"/>
      <c r="I1941" s="169" t="s">
        <v>6</v>
      </c>
      <c r="J1941" s="171"/>
    </row>
    <row r="1942" spans="1:11" ht="15.75" thickBot="1">
      <c r="B1942" s="49" t="s">
        <v>8</v>
      </c>
      <c r="C1942" s="50" t="s">
        <v>8</v>
      </c>
      <c r="D1942" s="51" t="s">
        <v>9</v>
      </c>
      <c r="E1942" s="50" t="s">
        <v>8</v>
      </c>
      <c r="F1942" s="52" t="s">
        <v>9</v>
      </c>
      <c r="G1942" s="53" t="s">
        <v>8</v>
      </c>
      <c r="H1942" s="54" t="s">
        <v>9</v>
      </c>
      <c r="I1942" s="53" t="s">
        <v>8</v>
      </c>
      <c r="J1942" s="55" t="s">
        <v>9</v>
      </c>
    </row>
    <row r="1943" spans="1:11" ht="15.75" thickTop="1">
      <c r="C1943" s="43"/>
      <c r="E1943" s="57"/>
      <c r="F1943" s="58"/>
      <c r="G1943" s="57"/>
      <c r="I1943" s="57"/>
      <c r="K1943" s="22"/>
    </row>
    <row r="1944" spans="1:11" ht="15.75">
      <c r="A1944" s="3" t="s">
        <v>10</v>
      </c>
      <c r="B1944" s="103">
        <v>535853</v>
      </c>
      <c r="C1944" s="57">
        <v>2462</v>
      </c>
      <c r="D1944" s="61">
        <v>4.5945436528301601E-3</v>
      </c>
      <c r="E1944" s="62">
        <v>45215.053154142857</v>
      </c>
      <c r="F1944" s="63">
        <v>4.6089470249823603E-3</v>
      </c>
      <c r="G1944" s="62">
        <v>533391</v>
      </c>
      <c r="H1944" s="64">
        <v>0.99540545634716981</v>
      </c>
      <c r="I1944" s="62">
        <v>9765063.2835372854</v>
      </c>
      <c r="J1944" s="65">
        <v>0.99539105297501762</v>
      </c>
      <c r="K1944" s="1" t="s">
        <v>125</v>
      </c>
    </row>
    <row r="1945" spans="1:11">
      <c r="A1945" s="3" t="s">
        <v>11</v>
      </c>
      <c r="B1945" s="103">
        <v>50379</v>
      </c>
      <c r="C1945" s="57">
        <v>8654</v>
      </c>
      <c r="D1945" s="61">
        <v>0.17177792334107467</v>
      </c>
      <c r="E1945" s="62">
        <v>235254.97534971431</v>
      </c>
      <c r="F1945" s="63">
        <v>0.14906974889887209</v>
      </c>
      <c r="G1945" s="62">
        <v>41725</v>
      </c>
      <c r="H1945" s="64">
        <v>0.82822207665892533</v>
      </c>
      <c r="I1945" s="62">
        <v>1342898.7217448566</v>
      </c>
      <c r="J1945" s="65">
        <v>0.85093025110112797</v>
      </c>
    </row>
    <row r="1946" spans="1:11">
      <c r="A1946" s="3" t="s">
        <v>12</v>
      </c>
      <c r="B1946" s="103">
        <v>10879</v>
      </c>
      <c r="C1946" s="57">
        <v>3744</v>
      </c>
      <c r="D1946" s="61">
        <v>0.34414927842632592</v>
      </c>
      <c r="E1946" s="62">
        <v>2767449.0781358564</v>
      </c>
      <c r="F1946" s="63">
        <v>0.52980100744636072</v>
      </c>
      <c r="G1946" s="62">
        <v>7135</v>
      </c>
      <c r="H1946" s="64">
        <v>0.65585072157367408</v>
      </c>
      <c r="I1946" s="62">
        <v>2456114.1828608578</v>
      </c>
      <c r="J1946" s="65">
        <v>0.47019899255363928</v>
      </c>
    </row>
    <row r="1947" spans="1:11">
      <c r="A1947" s="3" t="s">
        <v>13</v>
      </c>
      <c r="B1947" s="103">
        <v>360</v>
      </c>
      <c r="C1947" s="57">
        <v>301</v>
      </c>
      <c r="D1947" s="61">
        <v>0.83611111111111114</v>
      </c>
      <c r="E1947" s="62">
        <v>6072770.9243248552</v>
      </c>
      <c r="F1947" s="63">
        <v>0.96515152257484615</v>
      </c>
      <c r="G1947" s="62">
        <v>59</v>
      </c>
      <c r="H1947" s="64">
        <v>0.16388888888888889</v>
      </c>
      <c r="I1947" s="62">
        <v>219267.97556085716</v>
      </c>
      <c r="J1947" s="65">
        <v>3.4848477425153859E-2</v>
      </c>
    </row>
    <row r="1948" spans="1:11" ht="15.75" thickBot="1">
      <c r="A1948" s="3" t="s">
        <v>181</v>
      </c>
      <c r="B1948" s="103">
        <v>467</v>
      </c>
      <c r="C1948" s="57">
        <v>124</v>
      </c>
      <c r="D1948" s="61">
        <v>0.26552462526766596</v>
      </c>
      <c r="E1948" s="62">
        <v>59070.637642428563</v>
      </c>
      <c r="F1948" s="66">
        <v>0.8359576232639756</v>
      </c>
      <c r="G1948" s="67">
        <v>343</v>
      </c>
      <c r="H1948" s="68">
        <v>0.73447537473233404</v>
      </c>
      <c r="I1948" s="62">
        <v>11591.601684714287</v>
      </c>
      <c r="J1948" s="104">
        <v>0.16404237673602443</v>
      </c>
      <c r="K1948" s="3" t="s">
        <v>10</v>
      </c>
    </row>
    <row r="1949" spans="1:11" ht="17.25" thickTop="1" thickBot="1">
      <c r="A1949" s="34" t="s">
        <v>175</v>
      </c>
      <c r="B1949" s="84">
        <f>SUM(B1944:B1948)</f>
        <v>597938</v>
      </c>
      <c r="C1949" s="70">
        <f>SUM(C1944:C1948)</f>
        <v>15285</v>
      </c>
      <c r="D1949" s="71">
        <f>C1949/B1949</f>
        <v>2.556285099792955E-2</v>
      </c>
      <c r="E1949" s="72">
        <f>SUM(E1944:E1948)</f>
        <v>9179760.6686069965</v>
      </c>
      <c r="F1949" s="73">
        <v>0.39976125287710562</v>
      </c>
      <c r="G1949" s="74">
        <f>SUM(G1944:G1948)</f>
        <v>582653</v>
      </c>
      <c r="H1949" s="75">
        <f>G1949/B1949</f>
        <v>0.97443714900207046</v>
      </c>
      <c r="I1949" s="74">
        <f>SUM(I1944:I1948)</f>
        <v>13794935.765388571</v>
      </c>
      <c r="J1949" s="76">
        <v>0.60023874712289416</v>
      </c>
      <c r="K1949" s="3" t="s">
        <v>11</v>
      </c>
    </row>
    <row r="1950" spans="1:11" ht="17.25" thickTop="1" thickBot="1">
      <c r="A1950" s="1" t="s">
        <v>203</v>
      </c>
      <c r="B1950" s="97"/>
      <c r="C1950" s="164" t="s">
        <v>179</v>
      </c>
      <c r="D1950" s="165"/>
      <c r="E1950" s="166"/>
      <c r="F1950" s="167"/>
      <c r="G1950" s="168" t="s">
        <v>180</v>
      </c>
      <c r="H1950" s="166"/>
      <c r="I1950" s="166"/>
      <c r="J1950" s="167"/>
      <c r="K1950" s="3" t="s">
        <v>12</v>
      </c>
    </row>
    <row r="1951" spans="1:11" ht="15.75" thickTop="1">
      <c r="B1951" s="42" t="s">
        <v>4</v>
      </c>
      <c r="C1951" s="43" t="s">
        <v>5</v>
      </c>
      <c r="D1951" s="44"/>
      <c r="E1951" s="169" t="s">
        <v>6</v>
      </c>
      <c r="F1951" s="170"/>
      <c r="G1951" s="43" t="s">
        <v>7</v>
      </c>
      <c r="H1951" s="46"/>
      <c r="I1951" s="169" t="s">
        <v>6</v>
      </c>
      <c r="J1951" s="171"/>
      <c r="K1951" s="3" t="s">
        <v>13</v>
      </c>
    </row>
    <row r="1952" spans="1:11" ht="15.75" thickBot="1">
      <c r="B1952" s="49" t="s">
        <v>8</v>
      </c>
      <c r="C1952" s="50" t="s">
        <v>8</v>
      </c>
      <c r="D1952" s="51" t="s">
        <v>9</v>
      </c>
      <c r="E1952" s="50" t="s">
        <v>8</v>
      </c>
      <c r="F1952" s="52" t="s">
        <v>9</v>
      </c>
      <c r="G1952" s="53" t="s">
        <v>8</v>
      </c>
      <c r="H1952" s="54" t="s">
        <v>9</v>
      </c>
      <c r="I1952" s="53" t="s">
        <v>8</v>
      </c>
      <c r="J1952" s="55" t="s">
        <v>9</v>
      </c>
    </row>
    <row r="1953" spans="1:11" ht="15.75" thickTop="1">
      <c r="C1953" s="43"/>
      <c r="E1953" s="57"/>
      <c r="F1953" s="58"/>
      <c r="G1953" s="57"/>
      <c r="I1953" s="57"/>
    </row>
    <row r="1954" spans="1:11">
      <c r="A1954" s="3" t="s">
        <v>10</v>
      </c>
      <c r="B1954" s="103">
        <v>535775</v>
      </c>
      <c r="C1954" s="57">
        <v>2382</v>
      </c>
      <c r="D1954" s="61">
        <v>4.4458961317717328E-3</v>
      </c>
      <c r="E1954" s="62">
        <v>43474.690581714283</v>
      </c>
      <c r="F1954" s="63">
        <v>4.296972536654925E-3</v>
      </c>
      <c r="G1954" s="62">
        <v>533393</v>
      </c>
      <c r="H1954" s="64">
        <v>0.99555410386822829</v>
      </c>
      <c r="I1954" s="62">
        <v>10074041.819206858</v>
      </c>
      <c r="J1954" s="65">
        <v>0.99570302746334505</v>
      </c>
      <c r="K1954" s="22"/>
    </row>
    <row r="1955" spans="1:11" ht="15.75">
      <c r="A1955" s="3" t="s">
        <v>11</v>
      </c>
      <c r="B1955" s="103">
        <v>50370</v>
      </c>
      <c r="C1955" s="57">
        <v>8502</v>
      </c>
      <c r="D1955" s="61">
        <v>0.1687909469922573</v>
      </c>
      <c r="E1955" s="62">
        <v>230076.84463299997</v>
      </c>
      <c r="F1955" s="63">
        <v>0.14202793796277979</v>
      </c>
      <c r="G1955" s="62">
        <v>41868</v>
      </c>
      <c r="H1955" s="64">
        <v>0.83120905300774273</v>
      </c>
      <c r="I1955" s="62">
        <v>1389863.9073991426</v>
      </c>
      <c r="J1955" s="65">
        <v>0.85797206203722021</v>
      </c>
      <c r="K1955" s="1" t="s">
        <v>125</v>
      </c>
    </row>
    <row r="1956" spans="1:11">
      <c r="A1956" s="3" t="s">
        <v>12</v>
      </c>
      <c r="B1956" s="103">
        <v>10879</v>
      </c>
      <c r="C1956" s="57">
        <v>3732</v>
      </c>
      <c r="D1956" s="61">
        <v>0.34304623586726724</v>
      </c>
      <c r="E1956" s="62">
        <v>2677692.5159361423</v>
      </c>
      <c r="F1956" s="63">
        <v>0.52622204945256579</v>
      </c>
      <c r="G1956" s="62">
        <v>7147</v>
      </c>
      <c r="H1956" s="64">
        <v>0.65695376413273276</v>
      </c>
      <c r="I1956" s="62">
        <v>2410829.5608597146</v>
      </c>
      <c r="J1956" s="65">
        <v>0.47377795054743416</v>
      </c>
    </row>
    <row r="1957" spans="1:11">
      <c r="A1957" s="3" t="s">
        <v>13</v>
      </c>
      <c r="B1957" s="103">
        <v>361</v>
      </c>
      <c r="C1957" s="57">
        <v>300</v>
      </c>
      <c r="D1957" s="61">
        <v>0.83102493074792239</v>
      </c>
      <c r="E1957" s="62">
        <v>5930471.5680895727</v>
      </c>
      <c r="F1957" s="63">
        <v>0.96395994471369562</v>
      </c>
      <c r="G1957" s="62">
        <v>61</v>
      </c>
      <c r="H1957" s="64">
        <v>0.16897506925207756</v>
      </c>
      <c r="I1957" s="62">
        <v>221725.52330614283</v>
      </c>
      <c r="J1957" s="65">
        <v>3.6040055286304419E-2</v>
      </c>
    </row>
    <row r="1958" spans="1:11" ht="15.75" thickBot="1">
      <c r="A1958" s="3" t="s">
        <v>181</v>
      </c>
      <c r="B1958" s="103">
        <v>457</v>
      </c>
      <c r="C1958" s="57">
        <v>109</v>
      </c>
      <c r="D1958" s="61">
        <v>0.23851203501094093</v>
      </c>
      <c r="E1958" s="62">
        <v>66506.404136000012</v>
      </c>
      <c r="F1958" s="66">
        <v>0.83579528328167396</v>
      </c>
      <c r="G1958" s="67">
        <v>348</v>
      </c>
      <c r="H1958" s="68">
        <v>0.76148796498905913</v>
      </c>
      <c r="I1958" s="62">
        <v>13066.196315714287</v>
      </c>
      <c r="J1958" s="104">
        <v>0.16420471671832601</v>
      </c>
    </row>
    <row r="1959" spans="1:11" ht="17.25" thickTop="1" thickBot="1">
      <c r="A1959" s="34" t="s">
        <v>175</v>
      </c>
      <c r="B1959" s="84">
        <f>SUM(B1954:B1958)</f>
        <v>597842</v>
      </c>
      <c r="C1959" s="70">
        <f>SUM(C1954:C1958)</f>
        <v>15025</v>
      </c>
      <c r="D1959" s="71">
        <f>C1959/B1959</f>
        <v>2.5132058303029899E-2</v>
      </c>
      <c r="E1959" s="72">
        <f>SUM(E1954:E1958)</f>
        <v>8948222.0233764295</v>
      </c>
      <c r="F1959" s="73">
        <v>0.388298718723393</v>
      </c>
      <c r="G1959" s="74">
        <f>SUM(G1954:G1958)</f>
        <v>582817</v>
      </c>
      <c r="H1959" s="75">
        <f>G1959/B1959</f>
        <v>0.97486794169697011</v>
      </c>
      <c r="I1959" s="74">
        <f>SUM(I1954:I1958)</f>
        <v>14109527.007087572</v>
      </c>
      <c r="J1959" s="76">
        <v>0.61170128127660695</v>
      </c>
      <c r="K1959" s="3" t="s">
        <v>10</v>
      </c>
    </row>
    <row r="1960" spans="1:11" ht="17.25" thickTop="1" thickBot="1">
      <c r="A1960" s="1" t="s">
        <v>204</v>
      </c>
      <c r="B1960" s="97"/>
      <c r="C1960" s="164" t="s">
        <v>179</v>
      </c>
      <c r="D1960" s="165"/>
      <c r="E1960" s="166"/>
      <c r="F1960" s="167"/>
      <c r="G1960" s="168" t="s">
        <v>180</v>
      </c>
      <c r="H1960" s="166"/>
      <c r="I1960" s="166"/>
      <c r="J1960" s="167"/>
      <c r="K1960" s="3" t="s">
        <v>11</v>
      </c>
    </row>
    <row r="1961" spans="1:11" ht="15.75" thickTop="1">
      <c r="B1961" s="42" t="s">
        <v>4</v>
      </c>
      <c r="C1961" s="43" t="s">
        <v>5</v>
      </c>
      <c r="D1961" s="44"/>
      <c r="E1961" s="169" t="s">
        <v>6</v>
      </c>
      <c r="F1961" s="170"/>
      <c r="G1961" s="43" t="s">
        <v>7</v>
      </c>
      <c r="H1961" s="46"/>
      <c r="I1961" s="169" t="s">
        <v>6</v>
      </c>
      <c r="J1961" s="171"/>
      <c r="K1961" s="3" t="s">
        <v>12</v>
      </c>
    </row>
    <row r="1962" spans="1:11" ht="15.75" thickBot="1">
      <c r="B1962" s="49" t="s">
        <v>8</v>
      </c>
      <c r="C1962" s="50" t="s">
        <v>8</v>
      </c>
      <c r="D1962" s="51" t="s">
        <v>9</v>
      </c>
      <c r="E1962" s="50" t="s">
        <v>8</v>
      </c>
      <c r="F1962" s="52" t="s">
        <v>9</v>
      </c>
      <c r="G1962" s="53" t="s">
        <v>8</v>
      </c>
      <c r="H1962" s="54" t="s">
        <v>9</v>
      </c>
      <c r="I1962" s="53" t="s">
        <v>8</v>
      </c>
      <c r="J1962" s="55" t="s">
        <v>9</v>
      </c>
      <c r="K1962" s="3" t="s">
        <v>13</v>
      </c>
    </row>
    <row r="1963" spans="1:11" ht="15.75" thickTop="1">
      <c r="C1963" s="43"/>
      <c r="E1963" s="57"/>
      <c r="F1963" s="58"/>
      <c r="G1963" s="57"/>
      <c r="I1963" s="57"/>
    </row>
    <row r="1964" spans="1:11">
      <c r="A1964" s="3" t="s">
        <v>10</v>
      </c>
      <c r="B1964" s="103">
        <v>535444</v>
      </c>
      <c r="C1964" s="62">
        <v>2390</v>
      </c>
      <c r="D1964" s="61">
        <v>4.4635853609341029E-3</v>
      </c>
      <c r="E1964" s="62">
        <v>49286.469638428571</v>
      </c>
      <c r="F1964" s="63">
        <v>4.2662983433519614E-3</v>
      </c>
      <c r="G1964" s="62">
        <v>533054</v>
      </c>
      <c r="H1964" s="64">
        <v>0.99553641463906595</v>
      </c>
      <c r="I1964" s="62">
        <v>11503227.131579857</v>
      </c>
      <c r="J1964" s="65">
        <v>0.9957337016566481</v>
      </c>
    </row>
    <row r="1965" spans="1:11">
      <c r="A1965" s="3" t="s">
        <v>11</v>
      </c>
      <c r="B1965" s="103">
        <v>50379</v>
      </c>
      <c r="C1965" s="62">
        <v>8379</v>
      </c>
      <c r="D1965" s="61">
        <v>0.16631929970821174</v>
      </c>
      <c r="E1965" s="62">
        <v>235906.41860657142</v>
      </c>
      <c r="F1965" s="63">
        <v>0.13955533468402004</v>
      </c>
      <c r="G1965" s="62">
        <v>42000</v>
      </c>
      <c r="H1965" s="64">
        <v>0.8336807002917882</v>
      </c>
      <c r="I1965" s="62">
        <v>1454508.4920144284</v>
      </c>
      <c r="J1965" s="65">
        <v>0.86044466531597996</v>
      </c>
      <c r="K1965" s="22"/>
    </row>
    <row r="1966" spans="1:11" ht="15.75">
      <c r="A1966" s="3" t="s">
        <v>12</v>
      </c>
      <c r="B1966" s="103">
        <v>10899</v>
      </c>
      <c r="C1966" s="62">
        <v>3720</v>
      </c>
      <c r="D1966" s="61">
        <v>0.34131571703826041</v>
      </c>
      <c r="E1966" s="62">
        <v>2761292.9090151424</v>
      </c>
      <c r="F1966" s="63">
        <v>0.5255360619101006</v>
      </c>
      <c r="G1966" s="62">
        <v>7179</v>
      </c>
      <c r="H1966" s="64">
        <v>0.65868428296173964</v>
      </c>
      <c r="I1966" s="62">
        <v>2492947.6829225719</v>
      </c>
      <c r="J1966" s="65">
        <v>0.4744639380898994</v>
      </c>
      <c r="K1966" s="1" t="s">
        <v>125</v>
      </c>
    </row>
    <row r="1967" spans="1:11">
      <c r="A1967" s="3" t="s">
        <v>13</v>
      </c>
      <c r="B1967" s="103">
        <v>363</v>
      </c>
      <c r="C1967" s="62">
        <v>300</v>
      </c>
      <c r="D1967" s="61">
        <v>0.82644628099173556</v>
      </c>
      <c r="E1967" s="62">
        <v>6050126.1839745706</v>
      </c>
      <c r="F1967" s="63">
        <v>0.95734038979408353</v>
      </c>
      <c r="G1967" s="57">
        <v>63</v>
      </c>
      <c r="H1967" s="64">
        <v>0.17355371900826447</v>
      </c>
      <c r="I1967" s="62">
        <v>269596.92441314284</v>
      </c>
      <c r="J1967" s="65">
        <v>4.26596102059165E-2</v>
      </c>
    </row>
    <row r="1968" spans="1:11" ht="15.75" thickBot="1">
      <c r="A1968" s="3" t="s">
        <v>181</v>
      </c>
      <c r="B1968" s="103">
        <v>461</v>
      </c>
      <c r="C1968" s="62">
        <v>108</v>
      </c>
      <c r="D1968" s="61">
        <v>0.23427331887201736</v>
      </c>
      <c r="E1968" s="62">
        <v>66209.663854714294</v>
      </c>
      <c r="F1968" s="66">
        <v>0.99994986213811166</v>
      </c>
      <c r="G1968" s="50">
        <v>353</v>
      </c>
      <c r="H1968" s="68">
        <v>0.7657266811279827</v>
      </c>
      <c r="I1968" s="62">
        <v>14259.298043000001</v>
      </c>
      <c r="J1968" s="104">
        <v>0.17720246051049196</v>
      </c>
    </row>
    <row r="1969" spans="1:11" ht="17.25" thickTop="1" thickBot="1">
      <c r="A1969" s="34" t="s">
        <v>175</v>
      </c>
      <c r="B1969" s="84">
        <f>SUM(B1964:B1968)</f>
        <v>597546</v>
      </c>
      <c r="C1969" s="70">
        <f>SUM(C1964:C1968)</f>
        <v>14897</v>
      </c>
      <c r="D1969" s="71">
        <f>C1969/B1969</f>
        <v>2.4930298253188876E-2</v>
      </c>
      <c r="E1969" s="72">
        <f>SUM(E1964:E1968)</f>
        <v>9162821.645089427</v>
      </c>
      <c r="F1969" s="73">
        <v>0.36823465451720111</v>
      </c>
      <c r="G1969" s="74">
        <f>SUM(G1964:G1968)</f>
        <v>582649</v>
      </c>
      <c r="H1969" s="75">
        <f>G1969/B1969</f>
        <v>0.97506970174681118</v>
      </c>
      <c r="I1969" s="74">
        <f>SUM(I1964:I1968)</f>
        <v>15734539.528973</v>
      </c>
      <c r="J1969" s="76">
        <v>0.63197619293746399</v>
      </c>
    </row>
    <row r="1970" spans="1:11" ht="17.25" thickTop="1" thickBot="1">
      <c r="A1970" s="1" t="s">
        <v>205</v>
      </c>
      <c r="B1970" s="97"/>
      <c r="C1970" s="164" t="s">
        <v>179</v>
      </c>
      <c r="D1970" s="165"/>
      <c r="E1970" s="166"/>
      <c r="F1970" s="167"/>
      <c r="G1970" s="168" t="s">
        <v>180</v>
      </c>
      <c r="H1970" s="166"/>
      <c r="I1970" s="166"/>
      <c r="J1970" s="167"/>
      <c r="K1970" s="3" t="s">
        <v>10</v>
      </c>
    </row>
    <row r="1971" spans="1:11" ht="15.75" thickTop="1">
      <c r="B1971" s="42" t="s">
        <v>4</v>
      </c>
      <c r="C1971" s="43" t="s">
        <v>5</v>
      </c>
      <c r="D1971" s="44"/>
      <c r="E1971" s="169" t="s">
        <v>6</v>
      </c>
      <c r="F1971" s="170"/>
      <c r="G1971" s="43">
        <v>0.36802380706253607</v>
      </c>
      <c r="H1971" s="46"/>
      <c r="I1971" s="169" t="s">
        <v>6</v>
      </c>
      <c r="J1971" s="171"/>
      <c r="K1971" s="3" t="s">
        <v>11</v>
      </c>
    </row>
    <row r="1972" spans="1:11" ht="15.75" thickBot="1">
      <c r="B1972" s="49" t="s">
        <v>8</v>
      </c>
      <c r="C1972" s="50" t="s">
        <v>8</v>
      </c>
      <c r="D1972" s="51" t="s">
        <v>9</v>
      </c>
      <c r="E1972" s="50" t="s">
        <v>8</v>
      </c>
      <c r="F1972" s="52" t="s">
        <v>9</v>
      </c>
      <c r="G1972" s="53" t="s">
        <v>8</v>
      </c>
      <c r="H1972" s="54" t="s">
        <v>9</v>
      </c>
      <c r="I1972" s="53" t="s">
        <v>8</v>
      </c>
      <c r="J1972" s="55" t="s">
        <v>9</v>
      </c>
      <c r="K1972" s="3" t="s">
        <v>12</v>
      </c>
    </row>
    <row r="1973" spans="1:11" ht="15.75" thickTop="1">
      <c r="C1973" s="43"/>
      <c r="E1973" s="57"/>
      <c r="F1973" s="58"/>
      <c r="G1973" s="57"/>
      <c r="I1973" s="57"/>
      <c r="K1973" s="3" t="s">
        <v>13</v>
      </c>
    </row>
    <row r="1974" spans="1:11">
      <c r="A1974" s="3" t="s">
        <v>10</v>
      </c>
      <c r="B1974" s="103">
        <v>535108</v>
      </c>
      <c r="C1974" s="62">
        <v>2382</v>
      </c>
      <c r="D1974" s="61">
        <v>4.4999999999999997E-3</v>
      </c>
      <c r="E1974" s="62">
        <v>48213</v>
      </c>
      <c r="F1974" s="63">
        <v>4.1000000000000003E-3</v>
      </c>
      <c r="G1974" s="62">
        <v>532726</v>
      </c>
      <c r="H1974" s="64">
        <v>0.99550000000000005</v>
      </c>
      <c r="I1974" s="62">
        <v>11693336</v>
      </c>
      <c r="J1974" s="65">
        <v>0.99590000000000001</v>
      </c>
    </row>
    <row r="1975" spans="1:11">
      <c r="A1975" s="3" t="s">
        <v>11</v>
      </c>
      <c r="B1975" s="103">
        <v>50386</v>
      </c>
      <c r="C1975" s="62">
        <v>4928</v>
      </c>
      <c r="D1975" s="61">
        <v>9.7799999999999998E-2</v>
      </c>
      <c r="E1975" s="62">
        <v>181972</v>
      </c>
      <c r="F1975" s="63">
        <v>0.1101</v>
      </c>
      <c r="G1975" s="62">
        <v>45458</v>
      </c>
      <c r="H1975" s="64">
        <v>0.9022</v>
      </c>
      <c r="I1975" s="62">
        <v>1470254</v>
      </c>
      <c r="J1975" s="65">
        <v>0.88990000000000002</v>
      </c>
    </row>
    <row r="1976" spans="1:11">
      <c r="A1976" s="3" t="s">
        <v>12</v>
      </c>
      <c r="B1976" s="103">
        <v>10921</v>
      </c>
      <c r="C1976" s="62">
        <v>3642</v>
      </c>
      <c r="D1976" s="61">
        <v>0.33350000000000002</v>
      </c>
      <c r="E1976" s="62">
        <v>2888675</v>
      </c>
      <c r="F1976" s="63">
        <v>0.52649999999999997</v>
      </c>
      <c r="G1976" s="62">
        <v>7279</v>
      </c>
      <c r="H1976" s="64">
        <v>0.66649999999999998</v>
      </c>
      <c r="I1976" s="62">
        <v>2597787</v>
      </c>
      <c r="J1976" s="65">
        <v>0.47349999999999998</v>
      </c>
      <c r="K1976" s="22"/>
    </row>
    <row r="1977" spans="1:11" ht="15.75">
      <c r="A1977" s="3" t="s">
        <v>13</v>
      </c>
      <c r="B1977" s="103">
        <v>360</v>
      </c>
      <c r="C1977" s="57">
        <v>296</v>
      </c>
      <c r="D1977" s="61">
        <v>0.82220000000000004</v>
      </c>
      <c r="E1977" s="62">
        <v>5674817</v>
      </c>
      <c r="F1977" s="63">
        <v>0.95679999999999998</v>
      </c>
      <c r="G1977" s="57">
        <v>64</v>
      </c>
      <c r="H1977" s="64">
        <v>0.17780000000000001</v>
      </c>
      <c r="I1977" s="62">
        <v>256366</v>
      </c>
      <c r="J1977" s="65">
        <v>4.3200000000000002E-2</v>
      </c>
      <c r="K1977" s="1" t="s">
        <v>125</v>
      </c>
    </row>
    <row r="1978" spans="1:11" ht="15.75" thickBot="1">
      <c r="A1978" s="3" t="s">
        <v>181</v>
      </c>
      <c r="B1978" s="103">
        <v>461</v>
      </c>
      <c r="C1978" s="105">
        <v>94</v>
      </c>
      <c r="D1978" s="106">
        <v>0.2039</v>
      </c>
      <c r="E1978" s="62">
        <v>63786</v>
      </c>
      <c r="F1978" s="66">
        <v>0.80779999999999996</v>
      </c>
      <c r="G1978" s="50">
        <v>367</v>
      </c>
      <c r="H1978" s="68">
        <v>0.79610000000000003</v>
      </c>
      <c r="I1978" s="62">
        <v>15175</v>
      </c>
      <c r="J1978" s="104">
        <v>0.19220000000000001</v>
      </c>
    </row>
    <row r="1979" spans="1:11" ht="17.25" thickTop="1" thickBot="1">
      <c r="A1979" s="34" t="s">
        <v>175</v>
      </c>
      <c r="B1979" s="84">
        <f>SUM(B1974:B1978)</f>
        <v>597236</v>
      </c>
      <c r="C1979" s="74">
        <f>SUM(C1974:C1978)</f>
        <v>11342</v>
      </c>
      <c r="D1979" s="107">
        <v>1.9E-2</v>
      </c>
      <c r="E1979" s="74">
        <f>SUM(E1974:E1978)</f>
        <v>8857463</v>
      </c>
      <c r="F1979" s="73">
        <v>0.35589999999999999</v>
      </c>
      <c r="G1979" s="74">
        <f>SUM(G1974:G1978)</f>
        <v>585894</v>
      </c>
      <c r="H1979" s="75">
        <v>0.98099999999999998</v>
      </c>
      <c r="I1979" s="74">
        <f>SUM(I1974:I1978)</f>
        <v>16032918</v>
      </c>
      <c r="J1979" s="76">
        <v>0.64410000000000001</v>
      </c>
    </row>
    <row r="1980" spans="1:11" ht="17.25" thickTop="1" thickBot="1">
      <c r="A1980" s="1" t="s">
        <v>206</v>
      </c>
      <c r="B1980" s="97"/>
      <c r="C1980" s="164" t="s">
        <v>179</v>
      </c>
      <c r="D1980" s="166"/>
      <c r="E1980" s="166"/>
      <c r="F1980" s="167"/>
      <c r="G1980" s="168" t="s">
        <v>180</v>
      </c>
      <c r="H1980" s="166"/>
      <c r="I1980" s="166"/>
      <c r="J1980" s="167"/>
    </row>
    <row r="1981" spans="1:11" ht="15.75" thickTop="1">
      <c r="B1981" s="42" t="s">
        <v>4</v>
      </c>
      <c r="C1981" s="43" t="s">
        <v>5</v>
      </c>
      <c r="D1981" s="44"/>
      <c r="E1981" s="169" t="s">
        <v>6</v>
      </c>
      <c r="F1981" s="170"/>
      <c r="G1981" s="43" t="s">
        <v>7</v>
      </c>
      <c r="H1981" s="46"/>
      <c r="I1981" s="169" t="s">
        <v>6</v>
      </c>
      <c r="J1981" s="171"/>
      <c r="K1981" s="3" t="s">
        <v>10</v>
      </c>
    </row>
    <row r="1982" spans="1:11" ht="15.75" thickBot="1">
      <c r="B1982" s="49" t="s">
        <v>8</v>
      </c>
      <c r="C1982" s="50" t="s">
        <v>8</v>
      </c>
      <c r="D1982" s="51" t="s">
        <v>9</v>
      </c>
      <c r="E1982" s="50" t="s">
        <v>8</v>
      </c>
      <c r="F1982" s="52" t="s">
        <v>9</v>
      </c>
      <c r="G1982" s="53" t="s">
        <v>8</v>
      </c>
      <c r="H1982" s="54" t="s">
        <v>9</v>
      </c>
      <c r="I1982" s="53" t="s">
        <v>8</v>
      </c>
      <c r="J1982" s="55" t="s">
        <v>9</v>
      </c>
      <c r="K1982" s="3" t="s">
        <v>11</v>
      </c>
    </row>
    <row r="1983" spans="1:11" ht="15.75" thickTop="1">
      <c r="C1983" s="43"/>
      <c r="E1983" s="57"/>
      <c r="F1983" s="58"/>
      <c r="G1983" s="57"/>
      <c r="I1983" s="57"/>
      <c r="K1983" s="3" t="s">
        <v>12</v>
      </c>
    </row>
    <row r="1984" spans="1:11">
      <c r="A1984" s="3" t="s">
        <v>10</v>
      </c>
      <c r="B1984" s="103">
        <v>534517</v>
      </c>
      <c r="C1984" s="62">
        <v>2208</v>
      </c>
      <c r="D1984" s="61">
        <v>4.1000000000000003E-3</v>
      </c>
      <c r="E1984" s="62">
        <v>37888</v>
      </c>
      <c r="F1984" s="63">
        <v>3.8E-3</v>
      </c>
      <c r="G1984" s="62">
        <v>532309</v>
      </c>
      <c r="H1984" s="64">
        <v>0.99590000000000001</v>
      </c>
      <c r="I1984" s="62">
        <v>9950068</v>
      </c>
      <c r="J1984" s="65">
        <v>0.99619999999999997</v>
      </c>
      <c r="K1984" s="3" t="s">
        <v>13</v>
      </c>
    </row>
    <row r="1985" spans="1:11">
      <c r="A1985" s="3" t="s">
        <v>11</v>
      </c>
      <c r="B1985" s="103">
        <v>50328</v>
      </c>
      <c r="C1985" s="62">
        <v>2834</v>
      </c>
      <c r="D1985" s="61">
        <v>5.6300000000000003E-2</v>
      </c>
      <c r="E1985" s="62">
        <v>139278</v>
      </c>
      <c r="F1985" s="63">
        <v>9.2799999999999994E-2</v>
      </c>
      <c r="G1985" s="62">
        <v>47494</v>
      </c>
      <c r="H1985" s="64">
        <v>0.94369999999999998</v>
      </c>
      <c r="I1985" s="62">
        <v>1361592</v>
      </c>
      <c r="J1985" s="65">
        <v>0.90720000000000001</v>
      </c>
    </row>
    <row r="1986" spans="1:11">
      <c r="A1986" s="3" t="s">
        <v>12</v>
      </c>
      <c r="B1986" s="103">
        <v>10934</v>
      </c>
      <c r="C1986" s="62">
        <v>3569</v>
      </c>
      <c r="D1986" s="61">
        <v>0.32640000000000002</v>
      </c>
      <c r="E1986" s="62">
        <v>2561273</v>
      </c>
      <c r="F1986" s="63">
        <v>0.51629999999999998</v>
      </c>
      <c r="G1986" s="62">
        <v>7365</v>
      </c>
      <c r="H1986" s="64">
        <v>0.67359999999999998</v>
      </c>
      <c r="I1986" s="62">
        <v>2399314</v>
      </c>
      <c r="J1986" s="65">
        <v>0.48370000000000002</v>
      </c>
    </row>
    <row r="1987" spans="1:11">
      <c r="A1987" s="3" t="s">
        <v>13</v>
      </c>
      <c r="B1987" s="103">
        <v>365</v>
      </c>
      <c r="C1987" s="57">
        <v>301</v>
      </c>
      <c r="D1987" s="61">
        <v>0.82469999999999999</v>
      </c>
      <c r="E1987" s="62">
        <v>5771473</v>
      </c>
      <c r="F1987" s="63">
        <v>0.9577</v>
      </c>
      <c r="G1987" s="57">
        <v>64</v>
      </c>
      <c r="H1987" s="64">
        <v>0.17530000000000001</v>
      </c>
      <c r="I1987" s="62">
        <v>254768</v>
      </c>
      <c r="J1987" s="65">
        <v>4.2299999999999997E-2</v>
      </c>
      <c r="K1987" s="22"/>
    </row>
    <row r="1988" spans="1:11" ht="16.5" thickBot="1">
      <c r="A1988" s="3" t="s">
        <v>181</v>
      </c>
      <c r="B1988" s="103">
        <v>437</v>
      </c>
      <c r="C1988" s="105">
        <v>67</v>
      </c>
      <c r="D1988" s="106">
        <v>0.15329999999999999</v>
      </c>
      <c r="E1988" s="62">
        <v>60321</v>
      </c>
      <c r="F1988" s="66">
        <v>0.78110000000000002</v>
      </c>
      <c r="G1988" s="50">
        <v>370</v>
      </c>
      <c r="H1988" s="68">
        <v>0.84670000000000001</v>
      </c>
      <c r="I1988" s="62">
        <v>16902</v>
      </c>
      <c r="J1988" s="104">
        <v>0.21890000000000001</v>
      </c>
      <c r="K1988" s="1" t="s">
        <v>125</v>
      </c>
    </row>
    <row r="1989" spans="1:11" ht="17.25" thickTop="1" thickBot="1">
      <c r="A1989" s="34" t="s">
        <v>175</v>
      </c>
      <c r="B1989" s="84">
        <f>SUM(B1984:B1988)</f>
        <v>596581</v>
      </c>
      <c r="C1989" s="74">
        <f>SUM(C1984:C1988)</f>
        <v>8979</v>
      </c>
      <c r="D1989" s="107">
        <v>1.5100000000000001E-2</v>
      </c>
      <c r="E1989" s="74">
        <f>SUM(E1984:E1988)</f>
        <v>8570233</v>
      </c>
      <c r="F1989" s="73">
        <v>0.38</v>
      </c>
      <c r="G1989" s="74">
        <f>SUM(G1984:G1988)</f>
        <v>587602</v>
      </c>
      <c r="H1989" s="75">
        <v>0.9849</v>
      </c>
      <c r="I1989" s="74">
        <f>SUM(I1984:I1988)</f>
        <v>13982644</v>
      </c>
      <c r="J1989" s="76">
        <v>0.62</v>
      </c>
    </row>
    <row r="1990" spans="1:11" ht="17.25" thickTop="1" thickBot="1">
      <c r="A1990" s="1" t="s">
        <v>207</v>
      </c>
      <c r="B1990" s="97"/>
      <c r="C1990" s="164" t="s">
        <v>179</v>
      </c>
      <c r="D1990" s="166"/>
      <c r="E1990" s="166"/>
      <c r="F1990" s="167"/>
      <c r="G1990" s="168" t="s">
        <v>180</v>
      </c>
      <c r="H1990" s="166"/>
      <c r="I1990" s="166"/>
      <c r="J1990" s="167"/>
    </row>
    <row r="1991" spans="1:11" ht="15.75" thickTop="1">
      <c r="B1991" s="42" t="s">
        <v>4</v>
      </c>
      <c r="C1991" s="43" t="s">
        <v>5</v>
      </c>
      <c r="D1991" s="44"/>
      <c r="E1991" s="169" t="s">
        <v>6</v>
      </c>
      <c r="F1991" s="170"/>
      <c r="G1991" s="43" t="s">
        <v>7</v>
      </c>
      <c r="H1991" s="46"/>
      <c r="I1991" s="169" t="s">
        <v>6</v>
      </c>
      <c r="J1991" s="171"/>
    </row>
    <row r="1992" spans="1:11" ht="15.75" thickBot="1">
      <c r="B1992" s="49" t="s">
        <v>8</v>
      </c>
      <c r="C1992" s="50" t="s">
        <v>8</v>
      </c>
      <c r="D1992" s="51" t="s">
        <v>9</v>
      </c>
      <c r="E1992" s="50" t="s">
        <v>8</v>
      </c>
      <c r="F1992" s="52" t="s">
        <v>9</v>
      </c>
      <c r="G1992" s="53" t="s">
        <v>8</v>
      </c>
      <c r="H1992" s="54" t="s">
        <v>9</v>
      </c>
      <c r="I1992" s="53" t="s">
        <v>8</v>
      </c>
      <c r="J1992" s="55" t="s">
        <v>9</v>
      </c>
      <c r="K1992" s="3" t="s">
        <v>10</v>
      </c>
    </row>
    <row r="1993" spans="1:11" ht="15.75" thickTop="1">
      <c r="C1993" s="43"/>
      <c r="E1993" s="57"/>
      <c r="F1993" s="58"/>
      <c r="G1993" s="57"/>
      <c r="I1993" s="57"/>
      <c r="K1993" s="3" t="s">
        <v>11</v>
      </c>
    </row>
    <row r="1994" spans="1:11">
      <c r="A1994" s="3" t="s">
        <v>10</v>
      </c>
      <c r="B1994" s="103">
        <v>533866</v>
      </c>
      <c r="C1994" s="62">
        <v>2124</v>
      </c>
      <c r="D1994" s="61">
        <v>4.0000000000000001E-3</v>
      </c>
      <c r="E1994" s="62">
        <v>32677</v>
      </c>
      <c r="F1994" s="63">
        <v>3.5999999999999999E-3</v>
      </c>
      <c r="G1994" s="62">
        <v>531742</v>
      </c>
      <c r="H1994" s="64">
        <v>0.996</v>
      </c>
      <c r="I1994" s="62">
        <v>9011338</v>
      </c>
      <c r="J1994" s="65">
        <v>0.99639999999999995</v>
      </c>
      <c r="K1994" s="3" t="s">
        <v>12</v>
      </c>
    </row>
    <row r="1995" spans="1:11">
      <c r="A1995" s="3" t="s">
        <v>11</v>
      </c>
      <c r="B1995" s="103">
        <v>50964</v>
      </c>
      <c r="C1995" s="62">
        <v>3278</v>
      </c>
      <c r="D1995" s="61">
        <v>6.4299999999999996E-2</v>
      </c>
      <c r="E1995" s="62">
        <v>131412</v>
      </c>
      <c r="F1995" s="63">
        <v>8.9800000000000005E-2</v>
      </c>
      <c r="G1995" s="62">
        <v>47686</v>
      </c>
      <c r="H1995" s="64">
        <v>0.93569999999999998</v>
      </c>
      <c r="I1995" s="62">
        <v>1332465</v>
      </c>
      <c r="J1995" s="65">
        <v>0.91020000000000001</v>
      </c>
      <c r="K1995" s="3" t="s">
        <v>13</v>
      </c>
    </row>
    <row r="1996" spans="1:11">
      <c r="A1996" s="3" t="s">
        <v>12</v>
      </c>
      <c r="B1996" s="103">
        <v>11039</v>
      </c>
      <c r="C1996" s="62">
        <v>3535</v>
      </c>
      <c r="D1996" s="61">
        <v>0.32019999999999998</v>
      </c>
      <c r="E1996" s="62">
        <v>2627153</v>
      </c>
      <c r="F1996" s="63">
        <v>0.49530000000000002</v>
      </c>
      <c r="G1996" s="62">
        <v>7504</v>
      </c>
      <c r="H1996" s="64">
        <v>0.67979999999999996</v>
      </c>
      <c r="I1996" s="62">
        <v>2676611</v>
      </c>
      <c r="J1996" s="65">
        <v>0.50470000000000004</v>
      </c>
    </row>
    <row r="1997" spans="1:11">
      <c r="A1997" s="3" t="s">
        <v>13</v>
      </c>
      <c r="B1997" s="103">
        <v>371</v>
      </c>
      <c r="C1997" s="57">
        <v>305</v>
      </c>
      <c r="D1997" s="61">
        <v>0.82210000000000005</v>
      </c>
      <c r="E1997" s="62">
        <v>6573664</v>
      </c>
      <c r="F1997" s="63">
        <v>0.95289999999999997</v>
      </c>
      <c r="G1997" s="57">
        <v>66</v>
      </c>
      <c r="H1997" s="64">
        <v>0.1779</v>
      </c>
      <c r="I1997" s="62">
        <v>324863</v>
      </c>
      <c r="J1997" s="65">
        <v>4.7100000000000003E-2</v>
      </c>
    </row>
    <row r="1998" spans="1:11" ht="15.75" thickBot="1">
      <c r="A1998" s="3" t="s">
        <v>181</v>
      </c>
      <c r="B1998" s="103">
        <v>456</v>
      </c>
      <c r="C1998" s="105">
        <v>72</v>
      </c>
      <c r="D1998" s="106">
        <v>0.15790000000000001</v>
      </c>
      <c r="E1998" s="62">
        <v>47426</v>
      </c>
      <c r="F1998" s="66">
        <v>0.76670000000000005</v>
      </c>
      <c r="G1998" s="50">
        <v>384</v>
      </c>
      <c r="H1998" s="68">
        <v>0.84209999999999996</v>
      </c>
      <c r="I1998" s="62">
        <v>14430</v>
      </c>
      <c r="J1998" s="104">
        <v>0.23330000000000001</v>
      </c>
      <c r="K1998" s="22"/>
    </row>
    <row r="1999" spans="1:11" ht="17.25" thickTop="1" thickBot="1">
      <c r="A1999" s="34" t="s">
        <v>175</v>
      </c>
      <c r="B1999" s="84">
        <f>SUM(B1994:B1998)</f>
        <v>596696</v>
      </c>
      <c r="C1999" s="74">
        <f>SUM(C1994:C1998)</f>
        <v>9314</v>
      </c>
      <c r="D1999" s="107">
        <v>1.5599999999999999E-2</v>
      </c>
      <c r="E1999" s="74">
        <f>SUM(E1994:E1998)</f>
        <v>9412332</v>
      </c>
      <c r="F1999" s="73">
        <v>0.4133</v>
      </c>
      <c r="G1999" s="74">
        <f>SUM(G1994:G1998)</f>
        <v>587382</v>
      </c>
      <c r="H1999" s="75">
        <v>0.98440000000000005</v>
      </c>
      <c r="I1999" s="74">
        <f>SUM(I1994:I1998)</f>
        <v>13359707</v>
      </c>
      <c r="J1999" s="76">
        <v>0.5867</v>
      </c>
      <c r="K1999" s="1" t="s">
        <v>125</v>
      </c>
    </row>
    <row r="2000" spans="1:11" ht="17.25" thickTop="1" thickBot="1">
      <c r="A2000" s="1" t="s">
        <v>208</v>
      </c>
      <c r="B2000" s="97"/>
      <c r="C2000" s="164" t="s">
        <v>179</v>
      </c>
      <c r="D2000" s="166"/>
      <c r="E2000" s="166"/>
      <c r="F2000" s="167"/>
      <c r="G2000" s="168" t="s">
        <v>180</v>
      </c>
      <c r="H2000" s="166"/>
      <c r="I2000" s="166"/>
      <c r="J2000" s="167"/>
    </row>
    <row r="2001" spans="1:11" ht="15.75" thickTop="1">
      <c r="B2001" s="42" t="s">
        <v>4</v>
      </c>
      <c r="C2001" s="43" t="s">
        <v>5</v>
      </c>
      <c r="D2001" s="44"/>
      <c r="E2001" s="169" t="s">
        <v>6</v>
      </c>
      <c r="F2001" s="170"/>
      <c r="G2001" s="43" t="s">
        <v>7</v>
      </c>
      <c r="H2001" s="46"/>
      <c r="I2001" s="169" t="s">
        <v>6</v>
      </c>
      <c r="J2001" s="171"/>
    </row>
    <row r="2002" spans="1:11" ht="15.75" thickBot="1">
      <c r="B2002" s="49" t="s">
        <v>8</v>
      </c>
      <c r="C2002" s="50" t="s">
        <v>8</v>
      </c>
      <c r="D2002" s="51" t="s">
        <v>9</v>
      </c>
      <c r="E2002" s="50" t="s">
        <v>8</v>
      </c>
      <c r="F2002" s="52" t="s">
        <v>9</v>
      </c>
      <c r="G2002" s="53" t="s">
        <v>8</v>
      </c>
      <c r="H2002" s="54" t="s">
        <v>9</v>
      </c>
      <c r="I2002" s="53" t="s">
        <v>8</v>
      </c>
      <c r="J2002" s="55" t="s">
        <v>9</v>
      </c>
    </row>
    <row r="2003" spans="1:11" ht="15.75" thickTop="1">
      <c r="C2003" s="43"/>
      <c r="E2003" s="57"/>
      <c r="F2003" s="58"/>
      <c r="G2003" s="57"/>
      <c r="I2003" s="57"/>
      <c r="K2003" s="3" t="s">
        <v>10</v>
      </c>
    </row>
    <row r="2004" spans="1:11">
      <c r="A2004" s="3" t="s">
        <v>10</v>
      </c>
      <c r="B2004" s="103">
        <v>533525</v>
      </c>
      <c r="C2004" s="62">
        <v>2087</v>
      </c>
      <c r="D2004" s="61">
        <v>3.8999999999999998E-3</v>
      </c>
      <c r="E2004" s="62">
        <v>29719</v>
      </c>
      <c r="F2004" s="63">
        <v>3.3999999999999998E-3</v>
      </c>
      <c r="G2004" s="62">
        <v>531438</v>
      </c>
      <c r="H2004" s="64">
        <v>0.99609999999999999</v>
      </c>
      <c r="I2004" s="62">
        <v>8755699</v>
      </c>
      <c r="J2004" s="65">
        <v>0.99660000000000004</v>
      </c>
      <c r="K2004" s="3" t="s">
        <v>11</v>
      </c>
    </row>
    <row r="2005" spans="1:11">
      <c r="A2005" s="3" t="s">
        <v>11</v>
      </c>
      <c r="B2005" s="103">
        <v>50380</v>
      </c>
      <c r="C2005" s="62">
        <v>2526</v>
      </c>
      <c r="D2005" s="61">
        <v>5.0099999999999999E-2</v>
      </c>
      <c r="E2005" s="62">
        <v>114309</v>
      </c>
      <c r="F2005" s="63">
        <v>7.6200000000000004E-2</v>
      </c>
      <c r="G2005" s="62">
        <v>47854</v>
      </c>
      <c r="H2005" s="64">
        <v>0.94989999999999997</v>
      </c>
      <c r="I2005" s="62">
        <v>1385129</v>
      </c>
      <c r="J2005" s="65">
        <v>0.92379999999999995</v>
      </c>
      <c r="K2005" s="3" t="s">
        <v>12</v>
      </c>
    </row>
    <row r="2006" spans="1:11">
      <c r="A2006" s="3" t="s">
        <v>12</v>
      </c>
      <c r="B2006" s="103">
        <v>10964</v>
      </c>
      <c r="C2006" s="62">
        <v>3416</v>
      </c>
      <c r="D2006" s="61">
        <v>0.31159999999999999</v>
      </c>
      <c r="E2006" s="62">
        <v>2536719</v>
      </c>
      <c r="F2006" s="63">
        <v>0.47149999999999997</v>
      </c>
      <c r="G2006" s="62">
        <v>7548</v>
      </c>
      <c r="H2006" s="64">
        <v>0.68840000000000001</v>
      </c>
      <c r="I2006" s="62">
        <v>2843830</v>
      </c>
      <c r="J2006" s="65">
        <v>0.52849999999999997</v>
      </c>
      <c r="K2006" s="3" t="s">
        <v>13</v>
      </c>
    </row>
    <row r="2007" spans="1:11">
      <c r="A2007" s="3" t="s">
        <v>13</v>
      </c>
      <c r="B2007" s="103">
        <v>370</v>
      </c>
      <c r="C2007" s="57">
        <v>304</v>
      </c>
      <c r="D2007" s="61">
        <v>0.8216</v>
      </c>
      <c r="E2007" s="62">
        <v>6377747</v>
      </c>
      <c r="F2007" s="63">
        <v>0.95120000000000005</v>
      </c>
      <c r="G2007" s="57">
        <v>66</v>
      </c>
      <c r="H2007" s="64">
        <v>0.1784</v>
      </c>
      <c r="I2007" s="62">
        <v>327003</v>
      </c>
      <c r="J2007" s="65">
        <v>4.8800000000000003E-2</v>
      </c>
    </row>
    <row r="2008" spans="1:11" ht="15.75" thickBot="1">
      <c r="A2008" s="3" t="s">
        <v>181</v>
      </c>
      <c r="B2008" s="103">
        <v>452</v>
      </c>
      <c r="C2008" s="105">
        <v>64</v>
      </c>
      <c r="D2008" s="106">
        <v>0.1416</v>
      </c>
      <c r="E2008" s="62">
        <v>32792</v>
      </c>
      <c r="F2008" s="66">
        <v>0.76459999999999995</v>
      </c>
      <c r="G2008" s="50">
        <v>388</v>
      </c>
      <c r="H2008" s="68">
        <v>0.85840000000000005</v>
      </c>
      <c r="I2008" s="62">
        <v>10094</v>
      </c>
      <c r="J2008" s="104">
        <v>0.2354</v>
      </c>
    </row>
    <row r="2009" spans="1:11" ht="17.25" thickTop="1" thickBot="1">
      <c r="A2009" s="34" t="s">
        <v>175</v>
      </c>
      <c r="B2009" s="84">
        <f>SUM(B2004:B2008)</f>
        <v>595691</v>
      </c>
      <c r="C2009" s="74">
        <f>SUM(C2004:C2008)</f>
        <v>8397</v>
      </c>
      <c r="D2009" s="107">
        <v>1.41E-2</v>
      </c>
      <c r="E2009" s="74">
        <f>SUM(E2004:E2008)</f>
        <v>9091286</v>
      </c>
      <c r="F2009" s="73">
        <v>0.40560000000000002</v>
      </c>
      <c r="G2009" s="74">
        <f>SUM(G2004:G2008)</f>
        <v>587294</v>
      </c>
      <c r="H2009" s="75">
        <v>0.9859</v>
      </c>
      <c r="I2009" s="74">
        <f>SUM(I2004:I2008)</f>
        <v>13321755</v>
      </c>
      <c r="J2009" s="76">
        <v>0.59440000000000004</v>
      </c>
      <c r="K2009" s="22"/>
    </row>
    <row r="2010" spans="1:11" ht="17.25" thickTop="1" thickBot="1">
      <c r="A2010" s="1" t="s">
        <v>209</v>
      </c>
      <c r="B2010" s="97"/>
      <c r="C2010" s="164" t="s">
        <v>179</v>
      </c>
      <c r="D2010" s="166"/>
      <c r="E2010" s="166"/>
      <c r="F2010" s="167"/>
      <c r="G2010" s="168" t="s">
        <v>180</v>
      </c>
      <c r="H2010" s="166"/>
      <c r="I2010" s="166"/>
      <c r="J2010" s="167"/>
      <c r="K2010" s="1" t="s">
        <v>125</v>
      </c>
    </row>
    <row r="2011" spans="1:11" ht="15.75" thickTop="1">
      <c r="B2011" s="42" t="s">
        <v>4</v>
      </c>
      <c r="C2011" s="43" t="s">
        <v>5</v>
      </c>
      <c r="D2011" s="44"/>
      <c r="E2011" s="169" t="s">
        <v>6</v>
      </c>
      <c r="F2011" s="170"/>
      <c r="G2011" s="43" t="s">
        <v>7</v>
      </c>
      <c r="H2011" s="46"/>
      <c r="I2011" s="169" t="s">
        <v>6</v>
      </c>
      <c r="J2011" s="171"/>
    </row>
    <row r="2012" spans="1:11" ht="15.75" thickBot="1">
      <c r="B2012" s="49" t="s">
        <v>8</v>
      </c>
      <c r="C2012" s="50" t="s">
        <v>8</v>
      </c>
      <c r="D2012" s="51" t="s">
        <v>9</v>
      </c>
      <c r="E2012" s="50" t="s">
        <v>8</v>
      </c>
      <c r="F2012" s="52" t="s">
        <v>9</v>
      </c>
      <c r="G2012" s="53" t="s">
        <v>8</v>
      </c>
      <c r="H2012" s="54" t="s">
        <v>9</v>
      </c>
      <c r="I2012" s="53" t="s">
        <v>8</v>
      </c>
      <c r="J2012" s="55" t="s">
        <v>9</v>
      </c>
    </row>
    <row r="2013" spans="1:11" ht="15.75" thickTop="1">
      <c r="C2013" s="43"/>
      <c r="E2013" s="57"/>
      <c r="F2013" s="58"/>
      <c r="G2013" s="57"/>
      <c r="I2013" s="57"/>
    </row>
    <row r="2014" spans="1:11">
      <c r="A2014" s="3" t="s">
        <v>10</v>
      </c>
      <c r="B2014" s="103">
        <v>533416</v>
      </c>
      <c r="C2014" s="62">
        <v>2041</v>
      </c>
      <c r="D2014" s="61">
        <v>3.8E-3</v>
      </c>
      <c r="E2014" s="62">
        <v>32405</v>
      </c>
      <c r="F2014" s="63">
        <v>3.3E-3</v>
      </c>
      <c r="G2014" s="62">
        <v>531375</v>
      </c>
      <c r="H2014" s="64">
        <v>0.99619999999999997</v>
      </c>
      <c r="I2014" s="62">
        <v>9748988</v>
      </c>
      <c r="J2014" s="65">
        <v>0.99670000000000003</v>
      </c>
      <c r="K2014" s="3" t="s">
        <v>10</v>
      </c>
    </row>
    <row r="2015" spans="1:11">
      <c r="A2015" s="3" t="s">
        <v>11</v>
      </c>
      <c r="B2015" s="103">
        <v>50343</v>
      </c>
      <c r="C2015" s="62">
        <v>2412</v>
      </c>
      <c r="D2015" s="61">
        <v>4.7899999999999998E-2</v>
      </c>
      <c r="E2015" s="62">
        <v>117853</v>
      </c>
      <c r="F2015" s="63">
        <v>7.0599999999999996E-2</v>
      </c>
      <c r="G2015" s="62">
        <v>47931</v>
      </c>
      <c r="H2015" s="64">
        <v>0.95209999999999995</v>
      </c>
      <c r="I2015" s="62">
        <v>1550909</v>
      </c>
      <c r="J2015" s="65">
        <v>0.9294</v>
      </c>
      <c r="K2015" s="3" t="s">
        <v>11</v>
      </c>
    </row>
    <row r="2016" spans="1:11">
      <c r="A2016" s="3" t="s">
        <v>12</v>
      </c>
      <c r="B2016" s="103">
        <v>11021</v>
      </c>
      <c r="C2016" s="62">
        <v>3363</v>
      </c>
      <c r="D2016" s="61">
        <v>0.30509999999999998</v>
      </c>
      <c r="E2016" s="62">
        <v>2628193</v>
      </c>
      <c r="F2016" s="63">
        <v>0.45950000000000002</v>
      </c>
      <c r="G2016" s="62">
        <v>7658</v>
      </c>
      <c r="H2016" s="64">
        <v>0.69489999999999996</v>
      </c>
      <c r="I2016" s="62">
        <v>3091837</v>
      </c>
      <c r="J2016" s="65">
        <v>0.54049999999999998</v>
      </c>
      <c r="K2016" s="3" t="s">
        <v>12</v>
      </c>
    </row>
    <row r="2017" spans="1:11">
      <c r="A2017" s="3" t="s">
        <v>13</v>
      </c>
      <c r="B2017" s="103">
        <v>368</v>
      </c>
      <c r="C2017" s="57">
        <v>297</v>
      </c>
      <c r="D2017" s="61">
        <v>0.80710000000000004</v>
      </c>
      <c r="E2017" s="62">
        <v>6616360</v>
      </c>
      <c r="F2017" s="63">
        <v>0.94789999999999996</v>
      </c>
      <c r="G2017" s="57">
        <v>71</v>
      </c>
      <c r="H2017" s="64">
        <v>0.19289999999999999</v>
      </c>
      <c r="I2017" s="62">
        <v>363292</v>
      </c>
      <c r="J2017" s="65">
        <v>5.21E-2</v>
      </c>
      <c r="K2017" s="3" t="s">
        <v>13</v>
      </c>
    </row>
    <row r="2018" spans="1:11" ht="15.75" thickBot="1">
      <c r="A2018" s="3" t="s">
        <v>181</v>
      </c>
      <c r="B2018" s="103">
        <v>450</v>
      </c>
      <c r="C2018" s="105">
        <v>62</v>
      </c>
      <c r="D2018" s="106">
        <v>0.13780000000000001</v>
      </c>
      <c r="E2018" s="62">
        <v>29848</v>
      </c>
      <c r="F2018" s="66">
        <v>0.76290000000000002</v>
      </c>
      <c r="G2018" s="50">
        <v>388</v>
      </c>
      <c r="H2018" s="68">
        <v>0.86219999999999997</v>
      </c>
      <c r="I2018" s="62">
        <v>9276</v>
      </c>
      <c r="J2018" s="104">
        <v>0.23710000000000001</v>
      </c>
    </row>
    <row r="2019" spans="1:11" ht="17.25" thickTop="1" thickBot="1">
      <c r="A2019" s="34" t="s">
        <v>175</v>
      </c>
      <c r="B2019" s="84">
        <f>SUM(B2014:B2018)</f>
        <v>595598</v>
      </c>
      <c r="C2019" s="74">
        <f>SUM(C2014:C2018)</f>
        <v>8175</v>
      </c>
      <c r="D2019" s="107">
        <v>1.37E-2</v>
      </c>
      <c r="E2019" s="74">
        <f>SUM(E2014:E2018)</f>
        <v>9424659</v>
      </c>
      <c r="F2019" s="73">
        <v>0.3896</v>
      </c>
      <c r="G2019" s="74">
        <f>SUM(G2014:G2018)</f>
        <v>587423</v>
      </c>
      <c r="H2019" s="75">
        <v>0.98629999999999995</v>
      </c>
      <c r="I2019" s="74">
        <f>SUM(I2014:I2018)</f>
        <v>14764302</v>
      </c>
      <c r="J2019" s="76">
        <v>0.61040000000000005</v>
      </c>
    </row>
    <row r="2020" spans="1:11" ht="17.25" thickTop="1" thickBot="1">
      <c r="A2020" s="1" t="s">
        <v>210</v>
      </c>
      <c r="B2020" s="108"/>
      <c r="C2020" s="172" t="s">
        <v>179</v>
      </c>
      <c r="D2020" s="173"/>
      <c r="E2020" s="173"/>
      <c r="F2020" s="174"/>
      <c r="G2020" s="175" t="s">
        <v>180</v>
      </c>
      <c r="H2020" s="173"/>
      <c r="I2020" s="173"/>
      <c r="J2020" s="174"/>
      <c r="K2020" s="22"/>
    </row>
    <row r="2021" spans="1:11" ht="15.75">
      <c r="B2021" s="56" t="s">
        <v>4</v>
      </c>
      <c r="C2021" s="57" t="s">
        <v>5</v>
      </c>
      <c r="E2021" s="176" t="s">
        <v>6</v>
      </c>
      <c r="F2021" s="177"/>
      <c r="G2021" s="57" t="s">
        <v>7</v>
      </c>
      <c r="H2021" s="109"/>
      <c r="I2021" s="176" t="s">
        <v>6</v>
      </c>
      <c r="J2021" s="178"/>
      <c r="K2021" s="1" t="s">
        <v>125</v>
      </c>
    </row>
    <row r="2022" spans="1:11" ht="15.75" thickBot="1">
      <c r="B2022" s="49" t="s">
        <v>8</v>
      </c>
      <c r="C2022" s="50" t="s">
        <v>8</v>
      </c>
      <c r="D2022" s="51" t="s">
        <v>9</v>
      </c>
      <c r="E2022" s="50" t="s">
        <v>8</v>
      </c>
      <c r="F2022" s="52" t="s">
        <v>9</v>
      </c>
      <c r="G2022" s="53" t="s">
        <v>8</v>
      </c>
      <c r="H2022" s="54" t="s">
        <v>9</v>
      </c>
      <c r="I2022" s="53" t="s">
        <v>8</v>
      </c>
      <c r="J2022" s="55" t="s">
        <v>9</v>
      </c>
    </row>
    <row r="2023" spans="1:11" ht="15.75" thickTop="1">
      <c r="C2023" s="43"/>
      <c r="E2023" s="57"/>
      <c r="F2023" s="58"/>
      <c r="G2023" s="57"/>
      <c r="I2023" s="57"/>
    </row>
    <row r="2024" spans="1:11">
      <c r="A2024" s="3" t="s">
        <v>10</v>
      </c>
      <c r="B2024" s="103">
        <v>533099</v>
      </c>
      <c r="C2024" s="62">
        <v>2057</v>
      </c>
      <c r="D2024" s="61">
        <v>3.8999999999999998E-3</v>
      </c>
      <c r="E2024" s="62">
        <v>37200</v>
      </c>
      <c r="F2024" s="63">
        <v>3.3999999999999998E-3</v>
      </c>
      <c r="G2024" s="62">
        <v>531042</v>
      </c>
      <c r="H2024" s="64">
        <v>0.99609999999999999</v>
      </c>
      <c r="I2024" s="62">
        <v>10809992</v>
      </c>
      <c r="J2024" s="65">
        <v>0.99660000000000004</v>
      </c>
    </row>
    <row r="2025" spans="1:11">
      <c r="A2025" s="3" t="s">
        <v>11</v>
      </c>
      <c r="B2025" s="103">
        <v>50286</v>
      </c>
      <c r="C2025" s="62">
        <v>2306</v>
      </c>
      <c r="D2025" s="61">
        <v>4.5900000000000003E-2</v>
      </c>
      <c r="E2025" s="62">
        <v>125202</v>
      </c>
      <c r="F2025" s="63">
        <v>6.88E-2</v>
      </c>
      <c r="G2025" s="62">
        <v>47980</v>
      </c>
      <c r="H2025" s="64">
        <v>0.95409999999999995</v>
      </c>
      <c r="I2025" s="62">
        <v>1694399</v>
      </c>
      <c r="J2025" s="65">
        <v>0.93120000000000003</v>
      </c>
      <c r="K2025" s="3" t="s">
        <v>10</v>
      </c>
    </row>
    <row r="2026" spans="1:11">
      <c r="A2026" s="3" t="s">
        <v>12</v>
      </c>
      <c r="B2026" s="103">
        <v>11086</v>
      </c>
      <c r="C2026" s="62">
        <v>3315</v>
      </c>
      <c r="D2026" s="61">
        <v>0.29899999999999999</v>
      </c>
      <c r="E2026" s="62">
        <v>2983593</v>
      </c>
      <c r="F2026" s="63">
        <v>0.46779999999999999</v>
      </c>
      <c r="G2026" s="62">
        <v>7771</v>
      </c>
      <c r="H2026" s="64">
        <v>0.70099999999999996</v>
      </c>
      <c r="I2026" s="62">
        <v>3394953</v>
      </c>
      <c r="J2026" s="65">
        <v>0.53220000000000001</v>
      </c>
      <c r="K2026" s="3" t="s">
        <v>11</v>
      </c>
    </row>
    <row r="2027" spans="1:11">
      <c r="A2027" s="3" t="s">
        <v>13</v>
      </c>
      <c r="B2027" s="103">
        <v>368</v>
      </c>
      <c r="C2027" s="57">
        <v>297</v>
      </c>
      <c r="D2027" s="61">
        <v>0.80710000000000004</v>
      </c>
      <c r="E2027" s="62">
        <v>6681736</v>
      </c>
      <c r="F2027" s="63">
        <v>0.94910000000000005</v>
      </c>
      <c r="G2027" s="57">
        <v>71</v>
      </c>
      <c r="H2027" s="64">
        <v>0.19289999999999999</v>
      </c>
      <c r="I2027" s="62">
        <v>357984</v>
      </c>
      <c r="J2027" s="65">
        <v>5.0900000000000001E-2</v>
      </c>
      <c r="K2027" s="3" t="s">
        <v>12</v>
      </c>
    </row>
    <row r="2028" spans="1:11" ht="15.75" thickBot="1">
      <c r="A2028" s="3" t="s">
        <v>181</v>
      </c>
      <c r="B2028" s="103">
        <v>447</v>
      </c>
      <c r="C2028" s="105">
        <v>57</v>
      </c>
      <c r="D2028" s="106">
        <v>0.1275</v>
      </c>
      <c r="E2028" s="62">
        <v>29648</v>
      </c>
      <c r="F2028" s="66">
        <v>0.76259999999999994</v>
      </c>
      <c r="G2028" s="50">
        <v>390</v>
      </c>
      <c r="H2028" s="68">
        <v>0.87250000000000005</v>
      </c>
      <c r="I2028" s="62">
        <v>9227</v>
      </c>
      <c r="J2028" s="104">
        <v>0.2374</v>
      </c>
      <c r="K2028" s="3" t="s">
        <v>13</v>
      </c>
    </row>
    <row r="2029" spans="1:11" ht="17.25" thickTop="1" thickBot="1">
      <c r="A2029" s="34" t="s">
        <v>175</v>
      </c>
      <c r="B2029" s="84">
        <f>SUM(B2024:B2028)</f>
        <v>595286</v>
      </c>
      <c r="C2029" s="74">
        <f>SUM(C2024:C2028)</f>
        <v>8032</v>
      </c>
      <c r="D2029" s="107">
        <v>1.35E-2</v>
      </c>
      <c r="E2029" s="74">
        <f>SUM(E2024:E2028)</f>
        <v>9857379</v>
      </c>
      <c r="F2029" s="73">
        <v>0.37730000000000002</v>
      </c>
      <c r="G2029" s="74">
        <f>SUM(G2024:G2028)</f>
        <v>587254</v>
      </c>
      <c r="H2029" s="75">
        <v>0.98650000000000004</v>
      </c>
      <c r="I2029" s="74">
        <f>SUM(I2024:I2028)</f>
        <v>16266555</v>
      </c>
      <c r="J2029" s="76">
        <v>0.62270000000000003</v>
      </c>
    </row>
    <row r="2030" spans="1:11" ht="17.25" thickTop="1" thickBot="1">
      <c r="A2030" s="1" t="s">
        <v>211</v>
      </c>
      <c r="B2030" s="97"/>
      <c r="C2030" s="164" t="s">
        <v>179</v>
      </c>
      <c r="D2030" s="166"/>
      <c r="E2030" s="166"/>
      <c r="F2030" s="167"/>
      <c r="G2030" s="168" t="s">
        <v>180</v>
      </c>
      <c r="H2030" s="166"/>
      <c r="I2030" s="166"/>
      <c r="J2030" s="167"/>
    </row>
    <row r="2031" spans="1:11" ht="15.75" thickTop="1">
      <c r="B2031" s="42" t="s">
        <v>4</v>
      </c>
      <c r="C2031" s="43" t="s">
        <v>5</v>
      </c>
      <c r="D2031" s="44"/>
      <c r="E2031" s="169" t="s">
        <v>6</v>
      </c>
      <c r="F2031" s="170"/>
      <c r="G2031" s="43" t="s">
        <v>7</v>
      </c>
      <c r="H2031" s="46"/>
      <c r="I2031" s="169" t="s">
        <v>6</v>
      </c>
      <c r="J2031" s="171"/>
      <c r="K2031" s="22"/>
    </row>
    <row r="2032" spans="1:11" ht="16.5" thickBot="1">
      <c r="B2032" s="49" t="s">
        <v>8</v>
      </c>
      <c r="C2032" s="50" t="s">
        <v>8</v>
      </c>
      <c r="D2032" s="51" t="s">
        <v>9</v>
      </c>
      <c r="E2032" s="50" t="s">
        <v>8</v>
      </c>
      <c r="F2032" s="52" t="s">
        <v>9</v>
      </c>
      <c r="G2032" s="53" t="s">
        <v>8</v>
      </c>
      <c r="H2032" s="54" t="s">
        <v>9</v>
      </c>
      <c r="I2032" s="53" t="s">
        <v>8</v>
      </c>
      <c r="J2032" s="55" t="s">
        <v>9</v>
      </c>
      <c r="K2032" s="1" t="s">
        <v>125</v>
      </c>
    </row>
    <row r="2033" spans="1:11" ht="15.75" thickTop="1">
      <c r="C2033" s="43"/>
      <c r="E2033" s="57"/>
      <c r="F2033" s="58"/>
      <c r="G2033" s="57"/>
      <c r="I2033" s="57"/>
    </row>
    <row r="2034" spans="1:11">
      <c r="A2034" s="3" t="s">
        <v>10</v>
      </c>
      <c r="B2034" s="103">
        <v>532905</v>
      </c>
      <c r="C2034" s="62">
        <v>1983</v>
      </c>
      <c r="D2034" s="61">
        <v>3.7000000000000002E-3</v>
      </c>
      <c r="E2034" s="62">
        <v>30590</v>
      </c>
      <c r="F2034" s="63">
        <v>3.2000000000000002E-3</v>
      </c>
      <c r="G2034" s="62">
        <v>530922</v>
      </c>
      <c r="H2034" s="64">
        <v>0.99629999999999996</v>
      </c>
      <c r="I2034" s="62">
        <v>9400757</v>
      </c>
      <c r="J2034" s="65">
        <v>0.99680000000000002</v>
      </c>
    </row>
    <row r="2035" spans="1:11">
      <c r="A2035" s="3" t="s">
        <v>11</v>
      </c>
      <c r="B2035" s="103">
        <v>50245</v>
      </c>
      <c r="C2035" s="62">
        <v>2094</v>
      </c>
      <c r="D2035" s="61">
        <v>4.1700000000000001E-2</v>
      </c>
      <c r="E2035" s="62">
        <v>106959</v>
      </c>
      <c r="F2035" s="63">
        <v>6.5500000000000003E-2</v>
      </c>
      <c r="G2035" s="62">
        <v>48151</v>
      </c>
      <c r="H2035" s="64">
        <v>0.95830000000000004</v>
      </c>
      <c r="I2035" s="62">
        <v>1525668</v>
      </c>
      <c r="J2035" s="65">
        <v>0.9345</v>
      </c>
    </row>
    <row r="2036" spans="1:11">
      <c r="A2036" s="3" t="s">
        <v>12</v>
      </c>
      <c r="B2036" s="103">
        <v>11080</v>
      </c>
      <c r="C2036" s="62">
        <v>3248</v>
      </c>
      <c r="D2036" s="61">
        <v>0.29310000000000003</v>
      </c>
      <c r="E2036" s="62">
        <v>2767554</v>
      </c>
      <c r="F2036" s="63">
        <v>0.47260000000000002</v>
      </c>
      <c r="G2036" s="62">
        <v>7832</v>
      </c>
      <c r="H2036" s="64">
        <v>0.70689999999999997</v>
      </c>
      <c r="I2036" s="62">
        <v>3088263</v>
      </c>
      <c r="J2036" s="65">
        <v>0.52739999999999998</v>
      </c>
      <c r="K2036" s="3" t="s">
        <v>10</v>
      </c>
    </row>
    <row r="2037" spans="1:11">
      <c r="A2037" s="3" t="s">
        <v>13</v>
      </c>
      <c r="B2037" s="103">
        <v>369</v>
      </c>
      <c r="C2037" s="57">
        <v>302</v>
      </c>
      <c r="D2037" s="61">
        <v>0.81840000000000002</v>
      </c>
      <c r="E2037" s="62">
        <v>6277576</v>
      </c>
      <c r="F2037" s="63">
        <v>0.95330000000000004</v>
      </c>
      <c r="G2037" s="57">
        <v>67</v>
      </c>
      <c r="H2037" s="64">
        <v>0.18160000000000001</v>
      </c>
      <c r="I2037" s="62">
        <v>307197</v>
      </c>
      <c r="J2037" s="65">
        <v>4.6699999999999998E-2</v>
      </c>
      <c r="K2037" s="3" t="s">
        <v>11</v>
      </c>
    </row>
    <row r="2038" spans="1:11" ht="15.75" thickBot="1">
      <c r="A2038" s="3" t="s">
        <v>181</v>
      </c>
      <c r="B2038" s="103">
        <v>443</v>
      </c>
      <c r="C2038" s="105">
        <v>53</v>
      </c>
      <c r="D2038" s="106">
        <v>0.1196</v>
      </c>
      <c r="E2038" s="62">
        <v>31181</v>
      </c>
      <c r="F2038" s="66">
        <v>0.76570000000000005</v>
      </c>
      <c r="G2038" s="50">
        <v>390</v>
      </c>
      <c r="H2038" s="68">
        <v>0.88039999999999996</v>
      </c>
      <c r="I2038" s="62">
        <v>9541</v>
      </c>
      <c r="J2038" s="104">
        <v>0.23430000000000001</v>
      </c>
      <c r="K2038" s="3" t="s">
        <v>12</v>
      </c>
    </row>
    <row r="2039" spans="1:11" ht="17.25" thickTop="1" thickBot="1">
      <c r="A2039" s="34" t="s">
        <v>175</v>
      </c>
      <c r="B2039" s="84">
        <f>SUM(B2034:B2038)</f>
        <v>595042</v>
      </c>
      <c r="C2039" s="74">
        <f>SUM(C2034:C2038)</f>
        <v>7680</v>
      </c>
      <c r="D2039" s="107">
        <v>1.29E-2</v>
      </c>
      <c r="E2039" s="74">
        <f>SUM(E2034:E2038)</f>
        <v>9213860</v>
      </c>
      <c r="F2039" s="73">
        <v>0.39129999999999998</v>
      </c>
      <c r="G2039" s="74">
        <f>SUM(G2034:G2038)</f>
        <v>587362</v>
      </c>
      <c r="H2039" s="75">
        <v>0.98709999999999998</v>
      </c>
      <c r="I2039" s="74">
        <f>SUM(I2034:I2038)</f>
        <v>14331426</v>
      </c>
      <c r="J2039" s="76">
        <v>0.60870000000000002</v>
      </c>
      <c r="K2039" s="3" t="s">
        <v>13</v>
      </c>
    </row>
    <row r="2040" spans="1:11" ht="17.25" thickTop="1" thickBot="1">
      <c r="A2040" s="1" t="s">
        <v>212</v>
      </c>
      <c r="B2040" s="97"/>
      <c r="C2040" s="164" t="s">
        <v>179</v>
      </c>
      <c r="D2040" s="166"/>
      <c r="E2040" s="166"/>
      <c r="F2040" s="167"/>
      <c r="G2040" s="168" t="s">
        <v>180</v>
      </c>
      <c r="H2040" s="166"/>
      <c r="I2040" s="166"/>
      <c r="J2040" s="167"/>
    </row>
    <row r="2041" spans="1:11" ht="15.75" thickTop="1">
      <c r="B2041" s="42" t="s">
        <v>4</v>
      </c>
      <c r="C2041" s="43" t="s">
        <v>5</v>
      </c>
      <c r="D2041" s="44"/>
      <c r="E2041" s="169" t="s">
        <v>6</v>
      </c>
      <c r="F2041" s="170"/>
      <c r="G2041" s="43" t="s">
        <v>7</v>
      </c>
      <c r="H2041" s="46"/>
      <c r="I2041" s="169" t="s">
        <v>6</v>
      </c>
      <c r="J2041" s="171"/>
    </row>
    <row r="2042" spans="1:11" ht="15.75" thickBot="1">
      <c r="B2042" s="49" t="s">
        <v>8</v>
      </c>
      <c r="C2042" s="50" t="s">
        <v>8</v>
      </c>
      <c r="D2042" s="51" t="s">
        <v>9</v>
      </c>
      <c r="E2042" s="50" t="s">
        <v>8</v>
      </c>
      <c r="F2042" s="52" t="s">
        <v>9</v>
      </c>
      <c r="G2042" s="53" t="s">
        <v>8</v>
      </c>
      <c r="H2042" s="54" t="s">
        <v>9</v>
      </c>
      <c r="I2042" s="53" t="s">
        <v>8</v>
      </c>
      <c r="J2042" s="55" t="s">
        <v>9</v>
      </c>
      <c r="K2042" s="22"/>
    </row>
    <row r="2043" spans="1:11" ht="16.5" thickTop="1">
      <c r="C2043" s="43"/>
      <c r="E2043" s="57"/>
      <c r="F2043" s="58"/>
      <c r="G2043" s="57"/>
      <c r="I2043" s="57"/>
      <c r="K2043" s="1" t="s">
        <v>125</v>
      </c>
    </row>
    <row r="2044" spans="1:11">
      <c r="A2044" s="3" t="s">
        <v>10</v>
      </c>
      <c r="B2044" s="103">
        <v>533016</v>
      </c>
      <c r="C2044" s="62">
        <v>1941</v>
      </c>
      <c r="D2044" s="61">
        <v>3.5999999999999999E-3</v>
      </c>
      <c r="E2044" s="62">
        <v>27564</v>
      </c>
      <c r="F2044" s="63">
        <v>3.0999999999999999E-3</v>
      </c>
      <c r="G2044" s="62">
        <v>531075</v>
      </c>
      <c r="H2044" s="64">
        <v>0.99639999999999995</v>
      </c>
      <c r="I2044" s="62">
        <v>8766590</v>
      </c>
      <c r="J2044" s="65">
        <v>0.99690000000000001</v>
      </c>
    </row>
    <row r="2045" spans="1:11">
      <c r="A2045" s="3" t="s">
        <v>11</v>
      </c>
      <c r="B2045" s="103">
        <v>50234</v>
      </c>
      <c r="C2045" s="62">
        <v>1343</v>
      </c>
      <c r="D2045" s="61">
        <v>2.6700000000000002E-2</v>
      </c>
      <c r="E2045" s="62">
        <v>79430</v>
      </c>
      <c r="F2045" s="63">
        <v>5.4899999999999997E-2</v>
      </c>
      <c r="G2045" s="62">
        <v>48891</v>
      </c>
      <c r="H2045" s="64">
        <v>0.97330000000000005</v>
      </c>
      <c r="I2045" s="62">
        <v>1368573</v>
      </c>
      <c r="J2045" s="65">
        <v>0.94510000000000005</v>
      </c>
    </row>
    <row r="2046" spans="1:11">
      <c r="A2046" s="3" t="s">
        <v>12</v>
      </c>
      <c r="B2046" s="103">
        <v>11135</v>
      </c>
      <c r="C2046" s="62">
        <v>3168</v>
      </c>
      <c r="D2046" s="61">
        <v>0.28449999999999998</v>
      </c>
      <c r="E2046" s="62">
        <v>2439693</v>
      </c>
      <c r="F2046" s="63">
        <v>0.47220000000000001</v>
      </c>
      <c r="G2046" s="62">
        <v>7967</v>
      </c>
      <c r="H2046" s="64">
        <v>0.71550000000000002</v>
      </c>
      <c r="I2046" s="62">
        <v>2727236</v>
      </c>
      <c r="J2046" s="65">
        <v>0.52780000000000005</v>
      </c>
    </row>
    <row r="2047" spans="1:11">
      <c r="A2047" s="3" t="s">
        <v>13</v>
      </c>
      <c r="B2047" s="103">
        <v>372</v>
      </c>
      <c r="C2047" s="57">
        <v>301</v>
      </c>
      <c r="D2047" s="61">
        <v>0.80910000000000004</v>
      </c>
      <c r="E2047" s="62">
        <v>6017908</v>
      </c>
      <c r="F2047" s="63">
        <v>0.94779999999999998</v>
      </c>
      <c r="G2047" s="57">
        <v>71</v>
      </c>
      <c r="H2047" s="64">
        <v>0.19089999999999999</v>
      </c>
      <c r="I2047" s="62">
        <v>331577</v>
      </c>
      <c r="J2047" s="65">
        <v>5.2200000000000003E-2</v>
      </c>
      <c r="K2047" s="3" t="s">
        <v>10</v>
      </c>
    </row>
    <row r="2048" spans="1:11" ht="15.75" thickBot="1">
      <c r="A2048" s="3" t="s">
        <v>181</v>
      </c>
      <c r="B2048" s="103">
        <v>442</v>
      </c>
      <c r="C2048" s="105">
        <v>47</v>
      </c>
      <c r="D2048" s="106">
        <v>0.10630000000000001</v>
      </c>
      <c r="E2048" s="62">
        <v>28667</v>
      </c>
      <c r="F2048" s="66">
        <v>0.75429999999999997</v>
      </c>
      <c r="G2048" s="50">
        <v>395</v>
      </c>
      <c r="H2048" s="68">
        <v>0.89370000000000005</v>
      </c>
      <c r="I2048" s="62">
        <v>9338</v>
      </c>
      <c r="J2048" s="104">
        <v>0.2457</v>
      </c>
      <c r="K2048" s="3" t="s">
        <v>11</v>
      </c>
    </row>
    <row r="2049" spans="1:16" ht="17.25" thickTop="1" thickBot="1">
      <c r="A2049" s="34" t="s">
        <v>175</v>
      </c>
      <c r="B2049" s="84">
        <f>SUM(B2044:B2048)</f>
        <v>595199</v>
      </c>
      <c r="C2049" s="74">
        <f>SUM(C2044:C2048)</f>
        <v>6800</v>
      </c>
      <c r="D2049" s="107">
        <v>1.14E-2</v>
      </c>
      <c r="E2049" s="74">
        <f>SUM(E2044:E2048)</f>
        <v>8593262</v>
      </c>
      <c r="F2049" s="73">
        <v>0.39419999999999999</v>
      </c>
      <c r="G2049" s="74">
        <f>SUM(G2044:G2048)</f>
        <v>588399</v>
      </c>
      <c r="H2049" s="75">
        <v>0.98860000000000003</v>
      </c>
      <c r="I2049" s="74">
        <f>SUM(I2044:I2048)</f>
        <v>13203314</v>
      </c>
      <c r="J2049" s="76">
        <v>0.60580000000000001</v>
      </c>
      <c r="K2049" s="3" t="s">
        <v>12</v>
      </c>
    </row>
    <row r="2050" spans="1:16" ht="17.25" thickTop="1" thickBot="1">
      <c r="A2050" s="1" t="s">
        <v>213</v>
      </c>
      <c r="B2050" s="97"/>
      <c r="C2050" s="164" t="s">
        <v>179</v>
      </c>
      <c r="D2050" s="166"/>
      <c r="E2050" s="166"/>
      <c r="F2050" s="167"/>
      <c r="G2050" s="168" t="s">
        <v>180</v>
      </c>
      <c r="H2050" s="166"/>
      <c r="I2050" s="166"/>
      <c r="J2050" s="167"/>
      <c r="K2050" s="3" t="s">
        <v>13</v>
      </c>
    </row>
    <row r="2051" spans="1:16" ht="15.75" thickTop="1">
      <c r="B2051" s="42" t="s">
        <v>4</v>
      </c>
      <c r="C2051" s="43" t="s">
        <v>5</v>
      </c>
      <c r="D2051" s="44"/>
      <c r="E2051" s="169" t="s">
        <v>6</v>
      </c>
      <c r="F2051" s="170"/>
      <c r="G2051" s="43" t="s">
        <v>7</v>
      </c>
      <c r="H2051" s="46"/>
      <c r="I2051" s="169" t="s">
        <v>6</v>
      </c>
      <c r="J2051" s="171"/>
    </row>
    <row r="2052" spans="1:16" ht="15.75" thickBot="1">
      <c r="B2052" s="49" t="s">
        <v>8</v>
      </c>
      <c r="C2052" s="50" t="s">
        <v>8</v>
      </c>
      <c r="D2052" s="51" t="s">
        <v>9</v>
      </c>
      <c r="E2052" s="50" t="s">
        <v>8</v>
      </c>
      <c r="F2052" s="52" t="s">
        <v>9</v>
      </c>
      <c r="G2052" s="53" t="s">
        <v>8</v>
      </c>
      <c r="H2052" s="54" t="s">
        <v>9</v>
      </c>
      <c r="I2052" s="53" t="s">
        <v>8</v>
      </c>
      <c r="J2052" s="55" t="s">
        <v>9</v>
      </c>
    </row>
    <row r="2053" spans="1:16" ht="15.75" thickTop="1">
      <c r="C2053" s="43"/>
      <c r="E2053" s="57"/>
      <c r="F2053" s="58"/>
      <c r="G2053" s="57"/>
      <c r="I2053" s="57"/>
      <c r="K2053" s="22"/>
      <c r="M2053" s="110" t="s">
        <v>214</v>
      </c>
      <c r="N2053" s="110"/>
      <c r="O2053" s="110"/>
      <c r="P2053" s="110"/>
    </row>
    <row r="2054" spans="1:16" ht="15.75">
      <c r="A2054" s="3" t="s">
        <v>10</v>
      </c>
      <c r="B2054" s="103">
        <v>533988</v>
      </c>
      <c r="C2054" s="62">
        <v>1891</v>
      </c>
      <c r="D2054" s="61">
        <v>3.5000000000000001E-3</v>
      </c>
      <c r="E2054" s="62">
        <v>25591</v>
      </c>
      <c r="F2054" s="63">
        <v>3.0000000000000001E-3</v>
      </c>
      <c r="G2054" s="62">
        <v>532097</v>
      </c>
      <c r="H2054" s="64">
        <v>0.99650000000000005</v>
      </c>
      <c r="I2054" s="62">
        <v>8500951</v>
      </c>
      <c r="J2054" s="65">
        <v>0.997</v>
      </c>
      <c r="K2054" s="1" t="s">
        <v>125</v>
      </c>
      <c r="M2054" s="110" t="s">
        <v>215</v>
      </c>
      <c r="N2054" s="110"/>
      <c r="O2054" s="110"/>
      <c r="P2054" s="110"/>
    </row>
    <row r="2055" spans="1:16">
      <c r="A2055" s="3" t="s">
        <v>11</v>
      </c>
      <c r="B2055" s="103">
        <v>50233</v>
      </c>
      <c r="C2055" s="62">
        <v>1159</v>
      </c>
      <c r="D2055" s="61">
        <v>2.3099999999999999E-2</v>
      </c>
      <c r="E2055" s="62">
        <v>68589</v>
      </c>
      <c r="F2055" s="63">
        <v>0.05</v>
      </c>
      <c r="G2055" s="62">
        <v>49074</v>
      </c>
      <c r="H2055" s="64">
        <v>0.97689999999999999</v>
      </c>
      <c r="I2055" s="62">
        <v>1304022</v>
      </c>
      <c r="J2055" s="65">
        <v>0.95</v>
      </c>
      <c r="M2055" s="110" t="s">
        <v>216</v>
      </c>
      <c r="N2055" s="110"/>
      <c r="O2055" s="110"/>
      <c r="P2055" s="110"/>
    </row>
    <row r="2056" spans="1:16">
      <c r="A2056" s="3" t="s">
        <v>12</v>
      </c>
      <c r="B2056" s="103">
        <v>11131</v>
      </c>
      <c r="C2056" s="62">
        <v>3160</v>
      </c>
      <c r="D2056" s="61">
        <v>0.28389999999999999</v>
      </c>
      <c r="E2056" s="62">
        <v>2327976</v>
      </c>
      <c r="F2056" s="63">
        <v>0.48099999999999998</v>
      </c>
      <c r="G2056" s="62">
        <v>7971</v>
      </c>
      <c r="H2056" s="64">
        <v>0.71609999999999996</v>
      </c>
      <c r="I2056" s="62">
        <v>2512307</v>
      </c>
      <c r="J2056" s="65">
        <v>0.51900000000000002</v>
      </c>
      <c r="M2056" s="110" t="s">
        <v>217</v>
      </c>
      <c r="N2056" s="110"/>
      <c r="O2056" s="110"/>
      <c r="P2056" s="110"/>
    </row>
    <row r="2057" spans="1:16">
      <c r="A2057" s="3" t="s">
        <v>13</v>
      </c>
      <c r="B2057" s="103">
        <v>376</v>
      </c>
      <c r="C2057" s="57">
        <v>298</v>
      </c>
      <c r="D2057" s="61">
        <v>0.79259999999999997</v>
      </c>
      <c r="E2057" s="62">
        <v>5954685</v>
      </c>
      <c r="F2057" s="63">
        <v>0.94630000000000003</v>
      </c>
      <c r="G2057" s="57">
        <v>78</v>
      </c>
      <c r="H2057" s="64">
        <v>0.2074</v>
      </c>
      <c r="I2057" s="62">
        <v>337700</v>
      </c>
      <c r="J2057" s="65">
        <v>5.3699999999999998E-2</v>
      </c>
      <c r="M2057" s="110" t="s">
        <v>218</v>
      </c>
      <c r="N2057" s="110"/>
      <c r="O2057" s="110"/>
      <c r="P2057" s="110"/>
    </row>
    <row r="2058" spans="1:16" ht="15.75" thickBot="1">
      <c r="A2058" s="3" t="s">
        <v>181</v>
      </c>
      <c r="B2058" s="103">
        <v>443</v>
      </c>
      <c r="C2058" s="105">
        <v>44</v>
      </c>
      <c r="D2058" s="106">
        <v>9.9299999999999999E-2</v>
      </c>
      <c r="E2058" s="62">
        <v>33050</v>
      </c>
      <c r="F2058" s="66">
        <v>0.75539999999999996</v>
      </c>
      <c r="G2058" s="50">
        <v>399</v>
      </c>
      <c r="H2058" s="68">
        <v>0.90069999999999995</v>
      </c>
      <c r="I2058" s="62">
        <v>10700</v>
      </c>
      <c r="J2058" s="104">
        <v>0.24460000000000001</v>
      </c>
      <c r="K2058" s="3" t="s">
        <v>10</v>
      </c>
      <c r="M2058" s="110" t="s">
        <v>219</v>
      </c>
      <c r="N2058" s="110"/>
      <c r="O2058" s="110"/>
      <c r="P2058" s="110"/>
    </row>
    <row r="2059" spans="1:16" ht="17.25" thickTop="1" thickBot="1">
      <c r="A2059" s="34" t="s">
        <v>175</v>
      </c>
      <c r="B2059" s="84">
        <f>SUM(B2054:B2058)</f>
        <v>596171</v>
      </c>
      <c r="C2059" s="74">
        <f>SUM(C2054:C2058)</f>
        <v>6552</v>
      </c>
      <c r="D2059" s="107">
        <v>1.0999999999999999E-2</v>
      </c>
      <c r="E2059" s="74">
        <f>SUM(E2054:E2058)</f>
        <v>8409891</v>
      </c>
      <c r="F2059" s="73">
        <v>0.39900000000000002</v>
      </c>
      <c r="G2059" s="74">
        <f>SUM(G2054:G2058)</f>
        <v>589619</v>
      </c>
      <c r="H2059" s="75">
        <v>0.98899999999999999</v>
      </c>
      <c r="I2059" s="74">
        <f>SUM(I2054:I2058)</f>
        <v>12665680</v>
      </c>
      <c r="J2059" s="76">
        <v>0.60099999999999998</v>
      </c>
      <c r="K2059" s="3" t="s">
        <v>11</v>
      </c>
      <c r="M2059" s="110" t="s">
        <v>220</v>
      </c>
      <c r="N2059" s="110"/>
      <c r="O2059" s="110"/>
      <c r="P2059" s="110"/>
    </row>
    <row r="2060" spans="1:16" ht="17.25" thickTop="1" thickBot="1">
      <c r="A2060" s="1" t="s">
        <v>221</v>
      </c>
      <c r="B2060" s="97"/>
      <c r="C2060" s="164" t="s">
        <v>179</v>
      </c>
      <c r="D2060" s="166"/>
      <c r="E2060" s="166"/>
      <c r="F2060" s="167"/>
      <c r="G2060" s="168" t="s">
        <v>180</v>
      </c>
      <c r="H2060" s="166"/>
      <c r="I2060" s="166"/>
      <c r="J2060" s="167"/>
      <c r="K2060" s="3" t="s">
        <v>12</v>
      </c>
      <c r="M2060" s="110" t="s">
        <v>222</v>
      </c>
      <c r="N2060" s="110"/>
      <c r="O2060" s="110"/>
      <c r="P2060" s="110"/>
    </row>
    <row r="2061" spans="1:16" ht="15.75" thickTop="1">
      <c r="B2061" s="42" t="s">
        <v>4</v>
      </c>
      <c r="C2061" s="43" t="s">
        <v>5</v>
      </c>
      <c r="D2061" s="44"/>
      <c r="E2061" s="169" t="s">
        <v>6</v>
      </c>
      <c r="F2061" s="170"/>
      <c r="G2061" s="43" t="s">
        <v>7</v>
      </c>
      <c r="H2061" s="46"/>
      <c r="I2061" s="169" t="s">
        <v>6</v>
      </c>
      <c r="J2061" s="171"/>
      <c r="K2061" s="3" t="s">
        <v>13</v>
      </c>
      <c r="M2061" s="110"/>
      <c r="N2061" s="110"/>
      <c r="O2061" s="110"/>
      <c r="P2061" s="110"/>
    </row>
    <row r="2062" spans="1:16" ht="15.75" thickBot="1">
      <c r="B2062" s="49" t="s">
        <v>8</v>
      </c>
      <c r="C2062" s="50" t="s">
        <v>8</v>
      </c>
      <c r="D2062" s="51" t="s">
        <v>9</v>
      </c>
      <c r="E2062" s="50" t="s">
        <v>8</v>
      </c>
      <c r="F2062" s="52" t="s">
        <v>9</v>
      </c>
      <c r="G2062" s="53" t="s">
        <v>8</v>
      </c>
      <c r="H2062" s="54" t="s">
        <v>9</v>
      </c>
      <c r="I2062" s="53" t="s">
        <v>8</v>
      </c>
      <c r="J2062" s="55" t="s">
        <v>9</v>
      </c>
    </row>
    <row r="2063" spans="1:16" ht="15.75" thickTop="1">
      <c r="C2063" s="43"/>
      <c r="E2063" s="57"/>
      <c r="F2063" s="58"/>
      <c r="G2063" s="57"/>
      <c r="I2063" s="57"/>
    </row>
    <row r="2064" spans="1:16">
      <c r="A2064" s="3" t="s">
        <v>10</v>
      </c>
      <c r="B2064" s="103">
        <v>533956</v>
      </c>
      <c r="C2064" s="62">
        <v>1859</v>
      </c>
      <c r="D2064" s="61">
        <v>3.5000000000000001E-3</v>
      </c>
      <c r="E2064" s="62">
        <v>28622</v>
      </c>
      <c r="F2064" s="63">
        <v>3.0000000000000001E-3</v>
      </c>
      <c r="G2064" s="62">
        <v>532097</v>
      </c>
      <c r="H2064" s="64">
        <v>0.99650000000000005</v>
      </c>
      <c r="I2064" s="62">
        <v>9637159</v>
      </c>
      <c r="J2064" s="65">
        <v>0.997</v>
      </c>
      <c r="K2064" s="22"/>
    </row>
    <row r="2065" spans="1:11" ht="15.75">
      <c r="A2065" s="3" t="s">
        <v>11</v>
      </c>
      <c r="B2065" s="103">
        <v>50155</v>
      </c>
      <c r="C2065" s="57">
        <v>1081</v>
      </c>
      <c r="D2065" s="61">
        <v>2.1600000000000001E-2</v>
      </c>
      <c r="E2065" s="62">
        <v>69907</v>
      </c>
      <c r="F2065" s="63">
        <v>4.65E-2</v>
      </c>
      <c r="G2065" s="62">
        <v>49074</v>
      </c>
      <c r="H2065" s="64">
        <v>0.97840000000000005</v>
      </c>
      <c r="I2065" s="62">
        <v>1432041</v>
      </c>
      <c r="J2065" s="65">
        <v>0.95350000000000001</v>
      </c>
      <c r="K2065" s="1" t="s">
        <v>125</v>
      </c>
    </row>
    <row r="2066" spans="1:11">
      <c r="A2066" s="3" t="s">
        <v>12</v>
      </c>
      <c r="B2066" s="103">
        <v>11095</v>
      </c>
      <c r="C2066" s="62">
        <v>3123</v>
      </c>
      <c r="D2066" s="61">
        <v>0.28149999999999997</v>
      </c>
      <c r="E2066" s="62">
        <v>2460922</v>
      </c>
      <c r="F2066" s="63">
        <v>0.47399999999999998</v>
      </c>
      <c r="G2066" s="62">
        <v>7972</v>
      </c>
      <c r="H2066" s="64">
        <v>0.71850000000000003</v>
      </c>
      <c r="I2066" s="62">
        <v>2730855</v>
      </c>
      <c r="J2066" s="65">
        <v>0.52600000000000002</v>
      </c>
    </row>
    <row r="2067" spans="1:11">
      <c r="A2067" s="3" t="s">
        <v>13</v>
      </c>
      <c r="B2067" s="103">
        <v>372</v>
      </c>
      <c r="C2067" s="57">
        <v>295</v>
      </c>
      <c r="D2067" s="61">
        <v>0.79300000000000004</v>
      </c>
      <c r="E2067" s="62">
        <v>5145805</v>
      </c>
      <c r="F2067" s="63">
        <v>0.93940000000000001</v>
      </c>
      <c r="G2067" s="57">
        <v>77</v>
      </c>
      <c r="H2067" s="64">
        <v>0.20699999999999999</v>
      </c>
      <c r="I2067" s="62">
        <v>331797</v>
      </c>
      <c r="J2067" s="65">
        <v>6.0600000000000001E-2</v>
      </c>
    </row>
    <row r="2068" spans="1:11" ht="15.75" thickBot="1">
      <c r="A2068" s="3" t="s">
        <v>181</v>
      </c>
      <c r="B2068" s="103">
        <v>443</v>
      </c>
      <c r="C2068" s="105">
        <v>44</v>
      </c>
      <c r="D2068" s="106">
        <v>9.9299999999999999E-2</v>
      </c>
      <c r="E2068" s="62">
        <v>32272</v>
      </c>
      <c r="F2068" s="66">
        <v>0.747</v>
      </c>
      <c r="G2068" s="50">
        <v>399</v>
      </c>
      <c r="H2068" s="68">
        <v>0.90069999999999995</v>
      </c>
      <c r="I2068" s="62">
        <v>10932</v>
      </c>
      <c r="J2068" s="104">
        <v>0.253</v>
      </c>
    </row>
    <row r="2069" spans="1:11" ht="17.25" thickTop="1" thickBot="1">
      <c r="A2069" s="34" t="s">
        <v>175</v>
      </c>
      <c r="B2069" s="84">
        <f>SUM(B2064:B2068)</f>
        <v>596021</v>
      </c>
      <c r="C2069" s="74">
        <f>SUM(C2064:C2068)</f>
        <v>6402</v>
      </c>
      <c r="D2069" s="107">
        <v>1.0699999999999999E-2</v>
      </c>
      <c r="E2069" s="74">
        <f>SUM(E2064:E2068)</f>
        <v>7737528</v>
      </c>
      <c r="F2069" s="73">
        <v>0.35360000000000003</v>
      </c>
      <c r="G2069" s="74">
        <f>SUM(G2064:G2068)</f>
        <v>589619</v>
      </c>
      <c r="H2069" s="75">
        <v>0.98929999999999996</v>
      </c>
      <c r="I2069" s="74">
        <f>SUM(I2064:I2068)</f>
        <v>14142784</v>
      </c>
      <c r="J2069" s="76">
        <v>0.64639999999999997</v>
      </c>
      <c r="K2069" s="3" t="s">
        <v>10</v>
      </c>
    </row>
    <row r="2070" spans="1:11" ht="17.25" thickTop="1" thickBot="1">
      <c r="A2070" s="1" t="s">
        <v>223</v>
      </c>
      <c r="B2070" s="97"/>
      <c r="C2070" s="164" t="s">
        <v>179</v>
      </c>
      <c r="D2070" s="166"/>
      <c r="E2070" s="166"/>
      <c r="F2070" s="167"/>
      <c r="G2070" s="168" t="s">
        <v>180</v>
      </c>
      <c r="H2070" s="166"/>
      <c r="I2070" s="166"/>
      <c r="J2070" s="167"/>
      <c r="K2070" s="3" t="s">
        <v>11</v>
      </c>
    </row>
    <row r="2071" spans="1:11" ht="15.75" thickTop="1">
      <c r="B2071" s="42" t="s">
        <v>4</v>
      </c>
      <c r="C2071" s="43" t="s">
        <v>5</v>
      </c>
      <c r="D2071" s="44"/>
      <c r="E2071" s="169" t="s">
        <v>6</v>
      </c>
      <c r="F2071" s="170"/>
      <c r="G2071" s="43" t="s">
        <v>7</v>
      </c>
      <c r="H2071" s="46"/>
      <c r="I2071" s="169" t="s">
        <v>6</v>
      </c>
      <c r="J2071" s="171"/>
      <c r="K2071" s="3" t="s">
        <v>12</v>
      </c>
    </row>
    <row r="2072" spans="1:11" ht="15.75" thickBot="1">
      <c r="B2072" s="49" t="s">
        <v>8</v>
      </c>
      <c r="C2072" s="50" t="s">
        <v>8</v>
      </c>
      <c r="D2072" s="51" t="s">
        <v>9</v>
      </c>
      <c r="E2072" s="50" t="s">
        <v>8</v>
      </c>
      <c r="F2072" s="52" t="s">
        <v>9</v>
      </c>
      <c r="G2072" s="53" t="s">
        <v>8</v>
      </c>
      <c r="H2072" s="54" t="s">
        <v>9</v>
      </c>
      <c r="I2072" s="53" t="s">
        <v>8</v>
      </c>
      <c r="J2072" s="55" t="s">
        <v>9</v>
      </c>
      <c r="K2072" s="3" t="s">
        <v>13</v>
      </c>
    </row>
    <row r="2073" spans="1:11" ht="15.75" thickTop="1">
      <c r="C2073" s="43"/>
      <c r="E2073" s="57"/>
      <c r="F2073" s="58"/>
      <c r="G2073" s="57"/>
      <c r="I2073" s="57"/>
    </row>
    <row r="2074" spans="1:11">
      <c r="A2074" s="3" t="s">
        <v>10</v>
      </c>
      <c r="B2074" s="103">
        <v>533899</v>
      </c>
      <c r="C2074" s="62">
        <v>1825</v>
      </c>
      <c r="D2074" s="61">
        <v>3.3999999999999998E-3</v>
      </c>
      <c r="E2074" s="62">
        <v>31101</v>
      </c>
      <c r="F2074" s="63">
        <v>2.8999999999999998E-3</v>
      </c>
      <c r="G2074" s="62">
        <v>532074</v>
      </c>
      <c r="H2074" s="64">
        <v>0.99660000000000004</v>
      </c>
      <c r="I2074" s="62">
        <v>10554985</v>
      </c>
      <c r="J2074" s="65">
        <v>0.99709999999999999</v>
      </c>
    </row>
    <row r="2075" spans="1:11">
      <c r="A2075" s="3" t="s">
        <v>11</v>
      </c>
      <c r="B2075" s="103">
        <v>50172</v>
      </c>
      <c r="C2075" s="57">
        <v>984</v>
      </c>
      <c r="D2075" s="61">
        <v>1.9599999999999999E-2</v>
      </c>
      <c r="E2075" s="62">
        <v>69915</v>
      </c>
      <c r="F2075" s="63">
        <v>4.19E-2</v>
      </c>
      <c r="G2075" s="62">
        <v>49188</v>
      </c>
      <c r="H2075" s="64">
        <v>0.98040000000000005</v>
      </c>
      <c r="I2075" s="62">
        <v>1598004</v>
      </c>
      <c r="J2075" s="65">
        <v>0.95809999999999995</v>
      </c>
      <c r="K2075" s="22"/>
    </row>
    <row r="2076" spans="1:11" ht="15.75">
      <c r="A2076" s="3" t="s">
        <v>12</v>
      </c>
      <c r="B2076" s="103">
        <v>11109</v>
      </c>
      <c r="C2076" s="62">
        <v>2985</v>
      </c>
      <c r="D2076" s="61">
        <v>0.26869999999999999</v>
      </c>
      <c r="E2076" s="62">
        <v>2349573</v>
      </c>
      <c r="F2076" s="63">
        <v>0.45800000000000002</v>
      </c>
      <c r="G2076" s="62">
        <v>8124</v>
      </c>
      <c r="H2076" s="64">
        <v>0.73129999999999995</v>
      </c>
      <c r="I2076" s="62">
        <v>2780574</v>
      </c>
      <c r="J2076" s="65">
        <v>0.54200000000000004</v>
      </c>
      <c r="K2076" s="1" t="s">
        <v>125</v>
      </c>
    </row>
    <row r="2077" spans="1:11">
      <c r="A2077" s="3" t="s">
        <v>13</v>
      </c>
      <c r="B2077" s="103">
        <v>373</v>
      </c>
      <c r="C2077" s="57">
        <v>296</v>
      </c>
      <c r="D2077" s="61">
        <v>0.79359999999999997</v>
      </c>
      <c r="E2077" s="62">
        <v>5592466</v>
      </c>
      <c r="F2077" s="63">
        <v>0.94269999999999998</v>
      </c>
      <c r="G2077" s="57">
        <v>77</v>
      </c>
      <c r="H2077" s="64">
        <v>0.2064</v>
      </c>
      <c r="I2077" s="62">
        <v>340033</v>
      </c>
      <c r="J2077" s="65">
        <v>5.7299999999999997E-2</v>
      </c>
    </row>
    <row r="2078" spans="1:11" ht="15.75" thickBot="1">
      <c r="A2078" s="3" t="s">
        <v>181</v>
      </c>
      <c r="B2078" s="103">
        <v>444</v>
      </c>
      <c r="C2078" s="105">
        <v>40</v>
      </c>
      <c r="D2078" s="106">
        <v>9.01E-2</v>
      </c>
      <c r="E2078" s="62">
        <v>36794</v>
      </c>
      <c r="F2078" s="66">
        <v>0.74009999999999998</v>
      </c>
      <c r="G2078" s="50">
        <v>404</v>
      </c>
      <c r="H2078" s="68">
        <v>0.90990000000000004</v>
      </c>
      <c r="I2078" s="62">
        <v>12920</v>
      </c>
      <c r="J2078" s="104">
        <v>0.25990000000000002</v>
      </c>
    </row>
    <row r="2079" spans="1:11" ht="17.25" thickTop="1" thickBot="1">
      <c r="A2079" s="34" t="s">
        <v>175</v>
      </c>
      <c r="B2079" s="84">
        <f>SUM(B2074:B2078)</f>
        <v>595997</v>
      </c>
      <c r="C2079" s="74">
        <f>SUM(C2074:C2078)</f>
        <v>6130</v>
      </c>
      <c r="D2079" s="107">
        <v>1.03E-2</v>
      </c>
      <c r="E2079" s="74">
        <f>SUM(E2074:E2078)</f>
        <v>8079849</v>
      </c>
      <c r="F2079" s="73">
        <v>0.3458</v>
      </c>
      <c r="G2079" s="74">
        <f>SUM(G2074:G2078)</f>
        <v>589867</v>
      </c>
      <c r="H2079" s="75">
        <v>0.98970000000000002</v>
      </c>
      <c r="I2079" s="74">
        <f>SUM(I2074:I2078)</f>
        <v>15286516</v>
      </c>
      <c r="J2079" s="76">
        <v>0.6542</v>
      </c>
    </row>
    <row r="2080" spans="1:11" ht="17.25" thickTop="1" thickBot="1">
      <c r="A2080" s="1" t="s">
        <v>224</v>
      </c>
      <c r="B2080" s="97"/>
      <c r="C2080" s="164" t="s">
        <v>179</v>
      </c>
      <c r="D2080" s="166"/>
      <c r="E2080" s="166"/>
      <c r="F2080" s="167"/>
      <c r="G2080" s="168" t="s">
        <v>180</v>
      </c>
      <c r="H2080" s="166"/>
      <c r="I2080" s="166"/>
      <c r="J2080" s="167"/>
      <c r="K2080" s="3" t="s">
        <v>10</v>
      </c>
    </row>
    <row r="2081" spans="1:11" ht="15.75" thickTop="1">
      <c r="B2081" s="42" t="s">
        <v>4</v>
      </c>
      <c r="C2081" s="43" t="s">
        <v>5</v>
      </c>
      <c r="D2081" s="44"/>
      <c r="E2081" s="169" t="s">
        <v>6</v>
      </c>
      <c r="F2081" s="170"/>
      <c r="G2081" s="43" t="s">
        <v>7</v>
      </c>
      <c r="H2081" s="46"/>
      <c r="I2081" s="169" t="s">
        <v>6</v>
      </c>
      <c r="J2081" s="171"/>
      <c r="K2081" s="3" t="s">
        <v>11</v>
      </c>
    </row>
    <row r="2082" spans="1:11" ht="15.75" thickBot="1">
      <c r="B2082" s="49" t="s">
        <v>8</v>
      </c>
      <c r="C2082" s="50" t="s">
        <v>8</v>
      </c>
      <c r="D2082" s="51" t="s">
        <v>9</v>
      </c>
      <c r="E2082" s="50" t="s">
        <v>8</v>
      </c>
      <c r="F2082" s="52" t="s">
        <v>9</v>
      </c>
      <c r="G2082" s="53" t="s">
        <v>8</v>
      </c>
      <c r="H2082" s="54" t="s">
        <v>9</v>
      </c>
      <c r="I2082" s="53" t="s">
        <v>8</v>
      </c>
      <c r="J2082" s="55" t="s">
        <v>9</v>
      </c>
      <c r="K2082" s="3" t="s">
        <v>12</v>
      </c>
    </row>
    <row r="2083" spans="1:11" ht="15.75" thickTop="1">
      <c r="C2083" s="43"/>
      <c r="E2083" s="57"/>
      <c r="F2083" s="58"/>
      <c r="G2083" s="57"/>
      <c r="I2083" s="57"/>
      <c r="K2083" s="3" t="s">
        <v>13</v>
      </c>
    </row>
    <row r="2084" spans="1:11">
      <c r="A2084" s="3" t="s">
        <v>10</v>
      </c>
      <c r="B2084" s="103">
        <v>533670</v>
      </c>
      <c r="C2084" s="62">
        <v>1825</v>
      </c>
      <c r="D2084" s="61">
        <v>3.3999999999999998E-3</v>
      </c>
      <c r="E2084" s="62">
        <v>36559</v>
      </c>
      <c r="F2084" s="63">
        <v>3.0000000000000001E-3</v>
      </c>
      <c r="G2084" s="62">
        <v>531845</v>
      </c>
      <c r="H2084" s="64">
        <v>0.99660000000000004</v>
      </c>
      <c r="I2084" s="62">
        <v>12246158</v>
      </c>
      <c r="J2084" s="65">
        <v>0.997</v>
      </c>
    </row>
    <row r="2085" spans="1:11">
      <c r="A2085" s="3" t="s">
        <v>11</v>
      </c>
      <c r="B2085" s="103">
        <v>50188</v>
      </c>
      <c r="C2085" s="57">
        <v>976</v>
      </c>
      <c r="D2085" s="61">
        <v>1.9400000000000001E-2</v>
      </c>
      <c r="E2085" s="62">
        <v>75636</v>
      </c>
      <c r="F2085" s="63">
        <v>4.2999999999999997E-2</v>
      </c>
      <c r="G2085" s="62">
        <v>49212</v>
      </c>
      <c r="H2085" s="64">
        <v>0.98060000000000003</v>
      </c>
      <c r="I2085" s="62">
        <v>1683639</v>
      </c>
      <c r="J2085" s="65">
        <v>0.95699999999999996</v>
      </c>
    </row>
    <row r="2086" spans="1:11">
      <c r="A2086" s="3" t="s">
        <v>12</v>
      </c>
      <c r="B2086" s="103">
        <v>11104</v>
      </c>
      <c r="C2086" s="62">
        <v>2939</v>
      </c>
      <c r="D2086" s="61">
        <v>0.26469999999999999</v>
      </c>
      <c r="E2086" s="62">
        <v>2515411</v>
      </c>
      <c r="F2086" s="63">
        <v>0.44769999999999999</v>
      </c>
      <c r="G2086" s="62">
        <v>8165</v>
      </c>
      <c r="H2086" s="64">
        <v>0.73529999999999995</v>
      </c>
      <c r="I2086" s="62">
        <v>3103438</v>
      </c>
      <c r="J2086" s="65">
        <v>0.55230000000000001</v>
      </c>
      <c r="K2086" s="22"/>
    </row>
    <row r="2087" spans="1:11" ht="15.75">
      <c r="A2087" s="3" t="s">
        <v>13</v>
      </c>
      <c r="B2087" s="103">
        <v>373</v>
      </c>
      <c r="C2087" s="57">
        <v>292</v>
      </c>
      <c r="D2087" s="61">
        <v>0.78280000000000005</v>
      </c>
      <c r="E2087" s="62">
        <v>5574305</v>
      </c>
      <c r="F2087" s="63">
        <v>0.93289999999999995</v>
      </c>
      <c r="G2087" s="57">
        <v>81</v>
      </c>
      <c r="H2087" s="64">
        <v>0.2172</v>
      </c>
      <c r="I2087" s="62">
        <v>401079</v>
      </c>
      <c r="J2087" s="65">
        <v>6.7100000000000007E-2</v>
      </c>
      <c r="K2087" s="1" t="s">
        <v>125</v>
      </c>
    </row>
    <row r="2088" spans="1:11" ht="15.75" thickBot="1">
      <c r="A2088" s="3" t="s">
        <v>181</v>
      </c>
      <c r="B2088" s="103">
        <v>442</v>
      </c>
      <c r="C2088" s="105">
        <v>38</v>
      </c>
      <c r="D2088" s="106">
        <v>8.5999999999999993E-2</v>
      </c>
      <c r="E2088" s="62">
        <v>43773</v>
      </c>
      <c r="F2088" s="66">
        <v>0.73899999999999999</v>
      </c>
      <c r="G2088" s="50">
        <v>404</v>
      </c>
      <c r="H2088" s="68">
        <v>0.91400000000000003</v>
      </c>
      <c r="I2088" s="62">
        <v>15458</v>
      </c>
      <c r="J2088" s="104">
        <v>0.26100000000000001</v>
      </c>
    </row>
    <row r="2089" spans="1:11" ht="17.25" thickTop="1" thickBot="1">
      <c r="A2089" s="34" t="s">
        <v>175</v>
      </c>
      <c r="B2089" s="84">
        <f>SUM(B2084:B2088)</f>
        <v>595777</v>
      </c>
      <c r="C2089" s="74">
        <f>SUM(C2084:C2088)</f>
        <v>6070</v>
      </c>
      <c r="D2089" s="107">
        <v>1.0200000000000001E-2</v>
      </c>
      <c r="E2089" s="74">
        <f>SUM(E2084:E2088)</f>
        <v>8245684</v>
      </c>
      <c r="F2089" s="73">
        <v>0.32090000000000002</v>
      </c>
      <c r="G2089" s="74">
        <f>SUM(G2084:G2088)</f>
        <v>589707</v>
      </c>
      <c r="H2089" s="75">
        <v>0.98980000000000001</v>
      </c>
      <c r="I2089" s="74">
        <f>SUM(I2084:I2088)</f>
        <v>17449772</v>
      </c>
      <c r="J2089" s="76">
        <v>0.67910000000000004</v>
      </c>
    </row>
    <row r="2090" spans="1:11" ht="17.25" thickTop="1" thickBot="1">
      <c r="A2090" s="1" t="s">
        <v>225</v>
      </c>
      <c r="B2090" s="97"/>
      <c r="C2090" s="164" t="s">
        <v>179</v>
      </c>
      <c r="D2090" s="166"/>
      <c r="E2090" s="166"/>
      <c r="F2090" s="167"/>
      <c r="G2090" s="168" t="s">
        <v>180</v>
      </c>
      <c r="H2090" s="166"/>
      <c r="I2090" s="166"/>
      <c r="J2090" s="167"/>
    </row>
    <row r="2091" spans="1:11" ht="15.75" thickTop="1">
      <c r="B2091" s="42" t="s">
        <v>4</v>
      </c>
      <c r="C2091" s="43" t="s">
        <v>5</v>
      </c>
      <c r="D2091" s="44"/>
      <c r="E2091" s="169" t="s">
        <v>6</v>
      </c>
      <c r="F2091" s="170"/>
      <c r="G2091" s="43" t="s">
        <v>7</v>
      </c>
      <c r="H2091" s="46"/>
      <c r="I2091" s="169" t="s">
        <v>6</v>
      </c>
      <c r="J2091" s="171"/>
      <c r="K2091" s="3" t="s">
        <v>10</v>
      </c>
    </row>
    <row r="2092" spans="1:11" ht="15.75" thickBot="1">
      <c r="B2092" s="49" t="s">
        <v>8</v>
      </c>
      <c r="C2092" s="50" t="s">
        <v>8</v>
      </c>
      <c r="D2092" s="51" t="s">
        <v>9</v>
      </c>
      <c r="E2092" s="50" t="s">
        <v>8</v>
      </c>
      <c r="F2092" s="52" t="s">
        <v>9</v>
      </c>
      <c r="G2092" s="53" t="s">
        <v>8</v>
      </c>
      <c r="H2092" s="54" t="s">
        <v>9</v>
      </c>
      <c r="I2092" s="53" t="s">
        <v>8</v>
      </c>
      <c r="J2092" s="55" t="s">
        <v>9</v>
      </c>
      <c r="K2092" s="3" t="s">
        <v>11</v>
      </c>
    </row>
    <row r="2093" spans="1:11" ht="15.75" thickTop="1">
      <c r="C2093" s="43"/>
      <c r="E2093" s="57"/>
      <c r="F2093" s="58"/>
      <c r="G2093" s="57"/>
      <c r="I2093" s="57"/>
      <c r="K2093" s="3" t="s">
        <v>12</v>
      </c>
    </row>
    <row r="2094" spans="1:11">
      <c r="A2094" s="3" t="s">
        <v>10</v>
      </c>
      <c r="B2094" s="103">
        <v>533383</v>
      </c>
      <c r="C2094" s="62">
        <v>1836</v>
      </c>
      <c r="D2094" s="61">
        <v>3.3999999999999998E-3</v>
      </c>
      <c r="E2094" s="62">
        <v>34148</v>
      </c>
      <c r="F2094" s="63">
        <v>2.8999999999999998E-3</v>
      </c>
      <c r="G2094" s="62">
        <v>531547</v>
      </c>
      <c r="H2094" s="64">
        <v>0.99660000000000004</v>
      </c>
      <c r="I2094" s="62">
        <v>11555703</v>
      </c>
      <c r="J2094" s="65">
        <v>0.99709999999999999</v>
      </c>
      <c r="K2094" s="3" t="s">
        <v>13</v>
      </c>
    </row>
    <row r="2095" spans="1:11">
      <c r="A2095" s="3" t="s">
        <v>11</v>
      </c>
      <c r="B2095" s="103">
        <v>50147</v>
      </c>
      <c r="C2095" s="57">
        <v>964</v>
      </c>
      <c r="D2095" s="61">
        <v>1.9199999999999998E-2</v>
      </c>
      <c r="E2095" s="62">
        <v>73663</v>
      </c>
      <c r="F2095" s="63">
        <v>4.41E-2</v>
      </c>
      <c r="G2095" s="62">
        <v>49183</v>
      </c>
      <c r="H2095" s="64">
        <v>0.98080000000000001</v>
      </c>
      <c r="I2095" s="62">
        <v>1596897</v>
      </c>
      <c r="J2095" s="65">
        <v>0.95589999999999997</v>
      </c>
    </row>
    <row r="2096" spans="1:11">
      <c r="A2096" s="3" t="s">
        <v>12</v>
      </c>
      <c r="B2096" s="103">
        <v>11134</v>
      </c>
      <c r="C2096" s="62">
        <v>2789</v>
      </c>
      <c r="D2096" s="61">
        <v>0.2505</v>
      </c>
      <c r="E2096" s="62">
        <v>2264683</v>
      </c>
      <c r="F2096" s="63">
        <v>0.43149999999999999</v>
      </c>
      <c r="G2096" s="62">
        <v>8345</v>
      </c>
      <c r="H2096" s="64">
        <v>0.74950000000000006</v>
      </c>
      <c r="I2096" s="62">
        <v>2983758</v>
      </c>
      <c r="J2096" s="65">
        <v>0.56850000000000001</v>
      </c>
    </row>
    <row r="2097" spans="1:11">
      <c r="A2097" s="3" t="s">
        <v>13</v>
      </c>
      <c r="B2097" s="103">
        <v>384</v>
      </c>
      <c r="C2097" s="57">
        <v>292</v>
      </c>
      <c r="D2097" s="61">
        <v>0.76039999999999996</v>
      </c>
      <c r="E2097" s="62">
        <v>4699218</v>
      </c>
      <c r="F2097" s="63">
        <v>0.92459999999999998</v>
      </c>
      <c r="G2097" s="57">
        <v>92</v>
      </c>
      <c r="H2097" s="64">
        <v>0.23960000000000001</v>
      </c>
      <c r="I2097" s="62">
        <v>382987</v>
      </c>
      <c r="J2097" s="65">
        <v>7.5399999999999995E-2</v>
      </c>
      <c r="K2097" s="22"/>
    </row>
    <row r="2098" spans="1:11" ht="16.5" thickBot="1">
      <c r="A2098" s="3" t="s">
        <v>181</v>
      </c>
      <c r="B2098" s="103">
        <v>437</v>
      </c>
      <c r="C2098" s="105">
        <v>35</v>
      </c>
      <c r="D2098" s="106">
        <v>8.0100000000000005E-2</v>
      </c>
      <c r="E2098" s="62">
        <v>39036</v>
      </c>
      <c r="F2098" s="66">
        <v>0.73509999999999998</v>
      </c>
      <c r="G2098" s="50">
        <v>402</v>
      </c>
      <c r="H2098" s="68">
        <v>0.91990000000000005</v>
      </c>
      <c r="I2098" s="62">
        <v>14068</v>
      </c>
      <c r="J2098" s="104">
        <v>0.26490000000000002</v>
      </c>
      <c r="K2098" s="1" t="s">
        <v>125</v>
      </c>
    </row>
    <row r="2099" spans="1:11" ht="17.25" thickTop="1" thickBot="1">
      <c r="A2099" s="34" t="s">
        <v>175</v>
      </c>
      <c r="B2099" s="84">
        <f>SUM(B2094:B2098)</f>
        <v>595485</v>
      </c>
      <c r="C2099" s="74">
        <f>SUM(C2094:C2098)</f>
        <v>5916</v>
      </c>
      <c r="D2099" s="107">
        <v>9.9000000000000008E-3</v>
      </c>
      <c r="E2099" s="74">
        <f>SUM(E2094:E2098)</f>
        <v>7110748</v>
      </c>
      <c r="F2099" s="73">
        <v>0.30070000000000002</v>
      </c>
      <c r="G2099" s="74">
        <f>SUM(G2094:G2098)</f>
        <v>589569</v>
      </c>
      <c r="H2099" s="75">
        <v>0.99009999999999998</v>
      </c>
      <c r="I2099" s="74">
        <f>SUM(I2094:I2098)</f>
        <v>16533413</v>
      </c>
      <c r="J2099" s="76">
        <v>0.69930000000000003</v>
      </c>
    </row>
    <row r="2100" spans="1:11" ht="17.25" thickTop="1" thickBot="1">
      <c r="A2100" s="1" t="s">
        <v>226</v>
      </c>
      <c r="B2100" s="97"/>
      <c r="C2100" s="164" t="s">
        <v>179</v>
      </c>
      <c r="D2100" s="166"/>
      <c r="E2100" s="166"/>
      <c r="F2100" s="167"/>
      <c r="G2100" s="168" t="s">
        <v>180</v>
      </c>
      <c r="H2100" s="166"/>
      <c r="I2100" s="166"/>
      <c r="J2100" s="167"/>
    </row>
    <row r="2101" spans="1:11" ht="15.75" thickTop="1">
      <c r="B2101" s="42" t="s">
        <v>4</v>
      </c>
      <c r="C2101" s="43" t="s">
        <v>5</v>
      </c>
      <c r="D2101" s="44"/>
      <c r="E2101" s="169" t="s">
        <v>6</v>
      </c>
      <c r="F2101" s="170"/>
      <c r="G2101" s="43" t="s">
        <v>7</v>
      </c>
      <c r="H2101" s="46"/>
      <c r="I2101" s="169" t="s">
        <v>6</v>
      </c>
      <c r="J2101" s="171"/>
    </row>
    <row r="2102" spans="1:11" ht="15.75" thickBot="1">
      <c r="B2102" s="49" t="s">
        <v>8</v>
      </c>
      <c r="C2102" s="50" t="s">
        <v>8</v>
      </c>
      <c r="D2102" s="51" t="s">
        <v>9</v>
      </c>
      <c r="E2102" s="50" t="s">
        <v>8</v>
      </c>
      <c r="F2102" s="52" t="s">
        <v>9</v>
      </c>
      <c r="G2102" s="53" t="s">
        <v>8</v>
      </c>
      <c r="H2102" s="54" t="s">
        <v>9</v>
      </c>
      <c r="I2102" s="53" t="s">
        <v>8</v>
      </c>
      <c r="J2102" s="55" t="s">
        <v>9</v>
      </c>
      <c r="K2102" s="3" t="s">
        <v>10</v>
      </c>
    </row>
    <row r="2103" spans="1:11" ht="15.75" thickTop="1">
      <c r="C2103" s="43"/>
      <c r="E2103" s="57"/>
      <c r="F2103" s="58"/>
      <c r="G2103" s="57"/>
      <c r="I2103" s="57"/>
      <c r="K2103" s="3" t="s">
        <v>11</v>
      </c>
    </row>
    <row r="2104" spans="1:11">
      <c r="A2104" s="3" t="s">
        <v>10</v>
      </c>
      <c r="B2104" s="103">
        <v>533159</v>
      </c>
      <c r="C2104" s="62">
        <v>1836</v>
      </c>
      <c r="D2104" s="61">
        <v>3.3999999999999998E-3</v>
      </c>
      <c r="E2104" s="62">
        <v>31444</v>
      </c>
      <c r="F2104" s="63">
        <v>2.8999999999999998E-3</v>
      </c>
      <c r="G2104" s="62">
        <v>531323</v>
      </c>
      <c r="H2104" s="64">
        <v>0.99660000000000004</v>
      </c>
      <c r="I2104" s="62">
        <v>10631051</v>
      </c>
      <c r="J2104" s="65">
        <v>0.99709999999999999</v>
      </c>
      <c r="K2104" s="3" t="s">
        <v>12</v>
      </c>
    </row>
    <row r="2105" spans="1:11">
      <c r="A2105" s="3" t="s">
        <v>11</v>
      </c>
      <c r="B2105" s="103">
        <v>50064</v>
      </c>
      <c r="C2105" s="57">
        <v>800</v>
      </c>
      <c r="D2105" s="61">
        <v>1.6E-2</v>
      </c>
      <c r="E2105" s="62">
        <v>53385</v>
      </c>
      <c r="F2105" s="63">
        <v>3.4099999999999998E-2</v>
      </c>
      <c r="G2105" s="62">
        <v>49264</v>
      </c>
      <c r="H2105" s="64">
        <v>0.98399999999999999</v>
      </c>
      <c r="I2105" s="62">
        <v>1510563</v>
      </c>
      <c r="J2105" s="65">
        <v>0.96589999999999998</v>
      </c>
      <c r="K2105" s="3" t="s">
        <v>13</v>
      </c>
    </row>
    <row r="2106" spans="1:11">
      <c r="A2106" s="3" t="s">
        <v>12</v>
      </c>
      <c r="B2106" s="103">
        <v>11232</v>
      </c>
      <c r="C2106" s="62">
        <v>2732</v>
      </c>
      <c r="D2106" s="61">
        <v>0.2432</v>
      </c>
      <c r="E2106" s="62">
        <v>2256691</v>
      </c>
      <c r="F2106" s="63">
        <v>0.41620000000000001</v>
      </c>
      <c r="G2106" s="62">
        <v>8500</v>
      </c>
      <c r="H2106" s="64">
        <v>0.75680000000000003</v>
      </c>
      <c r="I2106" s="62">
        <v>3164845</v>
      </c>
      <c r="J2106" s="65">
        <v>0.58379999999999999</v>
      </c>
    </row>
    <row r="2107" spans="1:11">
      <c r="A2107" s="3" t="s">
        <v>13</v>
      </c>
      <c r="B2107" s="103">
        <v>396</v>
      </c>
      <c r="C2107" s="57">
        <v>306</v>
      </c>
      <c r="D2107" s="61">
        <v>0.77270000000000005</v>
      </c>
      <c r="E2107" s="62">
        <v>6300174</v>
      </c>
      <c r="F2107" s="63">
        <v>0.93700000000000006</v>
      </c>
      <c r="G2107" s="57">
        <v>90</v>
      </c>
      <c r="H2107" s="64">
        <v>0.2273</v>
      </c>
      <c r="I2107" s="62">
        <v>423715</v>
      </c>
      <c r="J2107" s="65">
        <v>6.3E-2</v>
      </c>
    </row>
    <row r="2108" spans="1:11" ht="15.75" thickBot="1">
      <c r="A2108" s="3" t="s">
        <v>181</v>
      </c>
      <c r="B2108" s="103">
        <v>435</v>
      </c>
      <c r="C2108" s="105">
        <v>32</v>
      </c>
      <c r="D2108" s="106">
        <v>7.3599999999999999E-2</v>
      </c>
      <c r="E2108" s="62">
        <v>53442</v>
      </c>
      <c r="F2108" s="66">
        <v>0.74109999999999998</v>
      </c>
      <c r="G2108" s="50">
        <v>403</v>
      </c>
      <c r="H2108" s="68">
        <v>0.9264</v>
      </c>
      <c r="I2108" s="62">
        <v>18670</v>
      </c>
      <c r="J2108" s="104">
        <v>0.25890000000000002</v>
      </c>
      <c r="K2108" s="22"/>
    </row>
    <row r="2109" spans="1:11" ht="17.25" thickTop="1" thickBot="1">
      <c r="A2109" s="34" t="s">
        <v>175</v>
      </c>
      <c r="B2109" s="84">
        <f>SUM(B2104:B2108)</f>
        <v>595286</v>
      </c>
      <c r="C2109" s="74">
        <f>SUM(C2104:C2108)</f>
        <v>5706</v>
      </c>
      <c r="D2109" s="107">
        <v>9.5999999999999992E-3</v>
      </c>
      <c r="E2109" s="74">
        <f>SUM(E2104:E2108)</f>
        <v>8695136</v>
      </c>
      <c r="F2109" s="73">
        <v>0.35570000000000002</v>
      </c>
      <c r="G2109" s="74">
        <f>SUM(G2104:G2108)</f>
        <v>589580</v>
      </c>
      <c r="H2109" s="75">
        <v>0.99039999999999995</v>
      </c>
      <c r="I2109" s="74">
        <f>SUM(I2104:I2108)</f>
        <v>15748844</v>
      </c>
      <c r="J2109" s="76">
        <v>0.64429999999999998</v>
      </c>
      <c r="K2109" s="1" t="s">
        <v>125</v>
      </c>
    </row>
    <row r="2110" spans="1:11" ht="17.25" thickTop="1" thickBot="1">
      <c r="A2110" s="1" t="s">
        <v>227</v>
      </c>
      <c r="B2110" s="97"/>
      <c r="C2110" s="164" t="s">
        <v>179</v>
      </c>
      <c r="D2110" s="166"/>
      <c r="E2110" s="166"/>
      <c r="F2110" s="167"/>
      <c r="G2110" s="168" t="s">
        <v>180</v>
      </c>
      <c r="H2110" s="166"/>
      <c r="I2110" s="166"/>
      <c r="J2110" s="167"/>
    </row>
    <row r="2111" spans="1:11" ht="15.75" thickTop="1">
      <c r="B2111" s="42" t="s">
        <v>4</v>
      </c>
      <c r="C2111" s="43" t="s">
        <v>5</v>
      </c>
      <c r="D2111" s="44"/>
      <c r="E2111" s="169" t="s">
        <v>6</v>
      </c>
      <c r="F2111" s="170"/>
      <c r="G2111" s="43" t="s">
        <v>7</v>
      </c>
      <c r="H2111" s="46"/>
      <c r="I2111" s="169" t="s">
        <v>6</v>
      </c>
      <c r="J2111" s="171"/>
    </row>
    <row r="2112" spans="1:11" ht="15.75" thickBot="1">
      <c r="B2112" s="49" t="s">
        <v>8</v>
      </c>
      <c r="C2112" s="50" t="s">
        <v>8</v>
      </c>
      <c r="D2112" s="51" t="s">
        <v>9</v>
      </c>
      <c r="E2112" s="50" t="s">
        <v>8</v>
      </c>
      <c r="F2112" s="52" t="s">
        <v>9</v>
      </c>
      <c r="G2112" s="53" t="s">
        <v>8</v>
      </c>
      <c r="H2112" s="54" t="s">
        <v>9</v>
      </c>
      <c r="I2112" s="53" t="s">
        <v>8</v>
      </c>
      <c r="J2112" s="55" t="s">
        <v>9</v>
      </c>
    </row>
    <row r="2113" spans="1:11" ht="15.75" thickTop="1">
      <c r="C2113" s="43"/>
      <c r="E2113" s="57"/>
      <c r="F2113" s="58"/>
      <c r="G2113" s="57"/>
      <c r="I2113" s="57"/>
      <c r="K2113" s="3" t="s">
        <v>10</v>
      </c>
    </row>
    <row r="2114" spans="1:11">
      <c r="A2114" s="3" t="s">
        <v>10</v>
      </c>
      <c r="B2114" s="103">
        <v>532650</v>
      </c>
      <c r="C2114" s="62">
        <v>1808</v>
      </c>
      <c r="D2114" s="61">
        <v>3.3999999999999998E-3</v>
      </c>
      <c r="E2114" s="62">
        <v>26729</v>
      </c>
      <c r="F2114" s="63">
        <v>3.0000000000000001E-3</v>
      </c>
      <c r="G2114" s="62">
        <v>530842</v>
      </c>
      <c r="H2114" s="64">
        <v>0.99660000000000004</v>
      </c>
      <c r="I2114" s="62">
        <v>9021791</v>
      </c>
      <c r="J2114" s="65">
        <v>0.997</v>
      </c>
      <c r="K2114" s="3" t="s">
        <v>11</v>
      </c>
    </row>
    <row r="2115" spans="1:11">
      <c r="A2115" s="3" t="s">
        <v>11</v>
      </c>
      <c r="B2115" s="103">
        <v>50080</v>
      </c>
      <c r="C2115" s="57">
        <v>756</v>
      </c>
      <c r="D2115" s="61">
        <v>1.5100000000000001E-2</v>
      </c>
      <c r="E2115" s="62">
        <v>46712</v>
      </c>
      <c r="F2115" s="63">
        <v>3.1399999999999997E-2</v>
      </c>
      <c r="G2115" s="62">
        <v>49324</v>
      </c>
      <c r="H2115" s="64">
        <v>0.9849</v>
      </c>
      <c r="I2115" s="62">
        <v>1441769</v>
      </c>
      <c r="J2115" s="65">
        <v>0.96860000000000002</v>
      </c>
      <c r="K2115" s="3" t="s">
        <v>12</v>
      </c>
    </row>
    <row r="2116" spans="1:11">
      <c r="A2116" s="3" t="s">
        <v>12</v>
      </c>
      <c r="B2116" s="103">
        <v>11257</v>
      </c>
      <c r="C2116" s="62">
        <v>2670</v>
      </c>
      <c r="D2116" s="61">
        <v>0.23719999999999999</v>
      </c>
      <c r="E2116" s="62">
        <v>2250909</v>
      </c>
      <c r="F2116" s="63">
        <v>0.39789999999999998</v>
      </c>
      <c r="G2116" s="62">
        <v>8587</v>
      </c>
      <c r="H2116" s="64">
        <v>0.76280000000000003</v>
      </c>
      <c r="I2116" s="62">
        <v>3406720</v>
      </c>
      <c r="J2116" s="65">
        <v>0.60209999999999997</v>
      </c>
      <c r="K2116" s="3" t="s">
        <v>13</v>
      </c>
    </row>
    <row r="2117" spans="1:11">
      <c r="A2117" s="3" t="s">
        <v>13</v>
      </c>
      <c r="B2117" s="103">
        <v>399</v>
      </c>
      <c r="C2117" s="57">
        <v>308</v>
      </c>
      <c r="D2117" s="61">
        <v>0.77190000000000003</v>
      </c>
      <c r="E2117" s="62">
        <v>7997906</v>
      </c>
      <c r="F2117" s="63">
        <v>0.9375</v>
      </c>
      <c r="G2117" s="57">
        <v>91</v>
      </c>
      <c r="H2117" s="64">
        <v>0.2281</v>
      </c>
      <c r="I2117" s="62">
        <v>532864</v>
      </c>
      <c r="J2117" s="65">
        <v>6.25E-2</v>
      </c>
      <c r="K2117" s="3" t="s">
        <v>181</v>
      </c>
    </row>
    <row r="2118" spans="1:11" ht="15.75" thickBot="1">
      <c r="A2118" s="3" t="s">
        <v>181</v>
      </c>
      <c r="B2118" s="103">
        <v>437</v>
      </c>
      <c r="C2118" s="105">
        <v>32</v>
      </c>
      <c r="D2118" s="106">
        <v>7.3200000000000001E-2</v>
      </c>
      <c r="E2118" s="62">
        <v>40345</v>
      </c>
      <c r="F2118" s="66">
        <v>0.73060000000000003</v>
      </c>
      <c r="G2118" s="50">
        <v>405</v>
      </c>
      <c r="H2118" s="68">
        <v>0.92679999999999996</v>
      </c>
      <c r="I2118" s="62">
        <v>14876</v>
      </c>
      <c r="J2118" s="104">
        <v>0.26939999999999997</v>
      </c>
    </row>
    <row r="2119" spans="1:11" ht="17.25" thickTop="1" thickBot="1">
      <c r="A2119" s="34" t="s">
        <v>175</v>
      </c>
      <c r="B2119" s="84">
        <f>SUM(B2114:B2118)</f>
        <v>594823</v>
      </c>
      <c r="C2119" s="74">
        <f>SUM(C2114:C2118)</f>
        <v>5574</v>
      </c>
      <c r="D2119" s="107">
        <v>9.4000000000000004E-3</v>
      </c>
      <c r="E2119" s="74">
        <f>SUM(E2114:E2118)</f>
        <v>10362601</v>
      </c>
      <c r="F2119" s="73">
        <v>0.41820000000000002</v>
      </c>
      <c r="G2119" s="74">
        <f>SUM(G2114:G2118)</f>
        <v>589249</v>
      </c>
      <c r="H2119" s="75">
        <v>0.99060000000000004</v>
      </c>
      <c r="I2119" s="74">
        <f>SUM(I2114:I2118)</f>
        <v>14418020</v>
      </c>
      <c r="J2119" s="76">
        <v>0.58179999999999998</v>
      </c>
    </row>
    <row r="2120" spans="1:11" ht="17.25" thickTop="1" thickBot="1">
      <c r="A2120" s="1" t="s">
        <v>228</v>
      </c>
      <c r="B2120" s="97"/>
      <c r="C2120" s="164" t="s">
        <v>179</v>
      </c>
      <c r="D2120" s="166"/>
      <c r="E2120" s="166"/>
      <c r="F2120" s="167"/>
      <c r="G2120" s="168" t="s">
        <v>180</v>
      </c>
      <c r="H2120" s="166"/>
      <c r="I2120" s="166"/>
      <c r="J2120" s="167"/>
      <c r="K2120" s="22"/>
    </row>
    <row r="2121" spans="1:11" ht="16.5" thickTop="1">
      <c r="B2121" s="42" t="s">
        <v>4</v>
      </c>
      <c r="C2121" s="43" t="s">
        <v>5</v>
      </c>
      <c r="D2121" s="44"/>
      <c r="E2121" s="169" t="s">
        <v>6</v>
      </c>
      <c r="F2121" s="170"/>
      <c r="G2121" s="43" t="s">
        <v>7</v>
      </c>
      <c r="H2121" s="46"/>
      <c r="I2121" s="169" t="s">
        <v>6</v>
      </c>
      <c r="J2121" s="171"/>
      <c r="K2121" s="1" t="s">
        <v>125</v>
      </c>
    </row>
    <row r="2122" spans="1:11" ht="15.75" thickBot="1">
      <c r="B2122" s="49" t="s">
        <v>8</v>
      </c>
      <c r="C2122" s="50" t="s">
        <v>8</v>
      </c>
      <c r="D2122" s="51" t="s">
        <v>9</v>
      </c>
      <c r="E2122" s="50" t="s">
        <v>8</v>
      </c>
      <c r="F2122" s="52" t="s">
        <v>9</v>
      </c>
      <c r="G2122" s="53" t="s">
        <v>8</v>
      </c>
      <c r="H2122" s="54" t="s">
        <v>9</v>
      </c>
      <c r="I2122" s="53" t="s">
        <v>8</v>
      </c>
      <c r="J2122" s="55" t="s">
        <v>9</v>
      </c>
    </row>
    <row r="2123" spans="1:11" ht="15.75" thickTop="1">
      <c r="C2123" s="43"/>
      <c r="E2123" s="57"/>
      <c r="F2123" s="58"/>
      <c r="G2123" s="57"/>
      <c r="I2123" s="57"/>
    </row>
    <row r="2124" spans="1:11">
      <c r="A2124" s="3" t="s">
        <v>10</v>
      </c>
      <c r="B2124" s="103">
        <v>532480</v>
      </c>
      <c r="C2124" s="62">
        <v>1776</v>
      </c>
      <c r="D2124" s="61">
        <v>3.3E-3</v>
      </c>
      <c r="E2124" s="62">
        <v>24660</v>
      </c>
      <c r="F2124" s="63">
        <v>2.8E-3</v>
      </c>
      <c r="G2124" s="62">
        <v>530704</v>
      </c>
      <c r="H2124" s="64">
        <v>0.99670000000000003</v>
      </c>
      <c r="I2124" s="62">
        <v>8809024</v>
      </c>
      <c r="J2124" s="65">
        <v>0.99719999999999998</v>
      </c>
    </row>
    <row r="2125" spans="1:11">
      <c r="A2125" s="3" t="s">
        <v>11</v>
      </c>
      <c r="B2125" s="103">
        <v>49944</v>
      </c>
      <c r="C2125" s="57">
        <v>755</v>
      </c>
      <c r="D2125" s="61">
        <v>1.5100000000000001E-2</v>
      </c>
      <c r="E2125" s="62">
        <v>45862</v>
      </c>
      <c r="F2125" s="63">
        <v>3.0200000000000001E-2</v>
      </c>
      <c r="G2125" s="62">
        <v>49189</v>
      </c>
      <c r="H2125" s="64">
        <v>0.9849</v>
      </c>
      <c r="I2125" s="62">
        <v>1472760</v>
      </c>
      <c r="J2125" s="65">
        <v>0.9698</v>
      </c>
      <c r="K2125" s="3" t="s">
        <v>10</v>
      </c>
    </row>
    <row r="2126" spans="1:11">
      <c r="A2126" s="3" t="s">
        <v>12</v>
      </c>
      <c r="B2126" s="103">
        <v>11401</v>
      </c>
      <c r="C2126" s="62">
        <v>2664</v>
      </c>
      <c r="D2126" s="61">
        <v>0.23369999999999999</v>
      </c>
      <c r="E2126" s="62">
        <v>2165269</v>
      </c>
      <c r="F2126" s="63">
        <v>0.37769999999999998</v>
      </c>
      <c r="G2126" s="62">
        <v>8737</v>
      </c>
      <c r="H2126" s="64">
        <v>0.76629999999999998</v>
      </c>
      <c r="I2126" s="62">
        <v>3568177</v>
      </c>
      <c r="J2126" s="65">
        <v>0.62229999999999996</v>
      </c>
      <c r="K2126" s="3" t="s">
        <v>11</v>
      </c>
    </row>
    <row r="2127" spans="1:11">
      <c r="A2127" s="3" t="s">
        <v>13</v>
      </c>
      <c r="B2127" s="103">
        <v>399</v>
      </c>
      <c r="C2127" s="57">
        <v>305</v>
      </c>
      <c r="D2127" s="61">
        <v>0.76439999999999997</v>
      </c>
      <c r="E2127" s="62">
        <v>9277447</v>
      </c>
      <c r="F2127" s="63">
        <v>0.94769999999999999</v>
      </c>
      <c r="G2127" s="57">
        <v>94</v>
      </c>
      <c r="H2127" s="64">
        <v>0.2356</v>
      </c>
      <c r="I2127" s="62">
        <v>511545</v>
      </c>
      <c r="J2127" s="65">
        <v>5.2299999999999999E-2</v>
      </c>
      <c r="K2127" s="3" t="s">
        <v>12</v>
      </c>
    </row>
    <row r="2128" spans="1:11" ht="15.75" thickBot="1">
      <c r="A2128" s="3" t="s">
        <v>181</v>
      </c>
      <c r="B2128" s="103">
        <v>438</v>
      </c>
      <c r="C2128" s="105">
        <v>33</v>
      </c>
      <c r="D2128" s="106">
        <v>7.5300000000000006E-2</v>
      </c>
      <c r="E2128" s="62">
        <v>29764</v>
      </c>
      <c r="F2128" s="66">
        <v>0.73299999999999998</v>
      </c>
      <c r="G2128" s="50">
        <v>405</v>
      </c>
      <c r="H2128" s="68">
        <v>0.92469999999999997</v>
      </c>
      <c r="I2128" s="62">
        <v>10844</v>
      </c>
      <c r="J2128" s="104">
        <v>0.26700000000000002</v>
      </c>
      <c r="K2128" s="3" t="s">
        <v>13</v>
      </c>
    </row>
    <row r="2129" spans="1:11" ht="17.25" thickTop="1" thickBot="1">
      <c r="A2129" s="34" t="s">
        <v>175</v>
      </c>
      <c r="B2129" s="84">
        <f>SUM(B2124:B2128)</f>
        <v>594662</v>
      </c>
      <c r="C2129" s="74">
        <f>SUM(C2124:C2128)</f>
        <v>5533</v>
      </c>
      <c r="D2129" s="107">
        <v>9.2999999999999992E-3</v>
      </c>
      <c r="E2129" s="74">
        <f>SUM(E2124:E2128)</f>
        <v>11543002</v>
      </c>
      <c r="F2129" s="73">
        <v>0.44540000000000002</v>
      </c>
      <c r="G2129" s="74">
        <f>SUM(G2124:G2128)</f>
        <v>589129</v>
      </c>
      <c r="H2129" s="75">
        <v>0.99070000000000003</v>
      </c>
      <c r="I2129" s="74">
        <f>SUM(I2124:I2128)</f>
        <v>14372350</v>
      </c>
      <c r="J2129" s="76">
        <v>0.55459999999999998</v>
      </c>
      <c r="K2129" s="3" t="s">
        <v>181</v>
      </c>
    </row>
    <row r="2130" spans="1:11" ht="17.25" thickTop="1" thickBot="1">
      <c r="A2130" s="1" t="s">
        <v>229</v>
      </c>
      <c r="B2130" s="97"/>
      <c r="C2130" s="164" t="s">
        <v>179</v>
      </c>
      <c r="D2130" s="166"/>
      <c r="E2130" s="166"/>
      <c r="F2130" s="167"/>
      <c r="G2130" s="168" t="s">
        <v>180</v>
      </c>
      <c r="H2130" s="166"/>
      <c r="I2130" s="166"/>
      <c r="J2130" s="167"/>
    </row>
    <row r="2131" spans="1:11" ht="15.75" thickTop="1">
      <c r="B2131" s="42" t="s">
        <v>4</v>
      </c>
      <c r="C2131" s="43" t="s">
        <v>5</v>
      </c>
      <c r="D2131" s="44"/>
      <c r="E2131" s="169" t="s">
        <v>6</v>
      </c>
      <c r="F2131" s="170"/>
      <c r="G2131" s="43" t="s">
        <v>7</v>
      </c>
      <c r="H2131" s="46"/>
      <c r="I2131" s="169" t="s">
        <v>6</v>
      </c>
      <c r="J2131" s="171"/>
    </row>
    <row r="2132" spans="1:11" ht="15.75" thickBot="1">
      <c r="B2132" s="49" t="s">
        <v>8</v>
      </c>
      <c r="C2132" s="50" t="s">
        <v>8</v>
      </c>
      <c r="D2132" s="51" t="s">
        <v>9</v>
      </c>
      <c r="E2132" s="50" t="s">
        <v>8</v>
      </c>
      <c r="F2132" s="52" t="s">
        <v>9</v>
      </c>
      <c r="G2132" s="53" t="s">
        <v>8</v>
      </c>
      <c r="H2132" s="54" t="s">
        <v>9</v>
      </c>
      <c r="I2132" s="53" t="s">
        <v>8</v>
      </c>
      <c r="J2132" s="55" t="s">
        <v>9</v>
      </c>
      <c r="K2132" s="22"/>
    </row>
    <row r="2133" spans="1:11" ht="16.5" thickTop="1">
      <c r="C2133" s="43"/>
      <c r="E2133" s="57"/>
      <c r="F2133" s="58"/>
      <c r="G2133" s="57"/>
      <c r="I2133" s="57"/>
      <c r="K2133" s="1" t="s">
        <v>125</v>
      </c>
    </row>
    <row r="2134" spans="1:11">
      <c r="A2134" s="3" t="s">
        <v>10</v>
      </c>
      <c r="B2134" s="103">
        <v>532451</v>
      </c>
      <c r="C2134" s="62">
        <v>1799</v>
      </c>
      <c r="D2134" s="61">
        <v>3.3999999999999998E-3</v>
      </c>
      <c r="E2134" s="62">
        <v>26240</v>
      </c>
      <c r="F2134" s="63">
        <v>2.7000000000000001E-3</v>
      </c>
      <c r="G2134" s="62">
        <v>530652</v>
      </c>
      <c r="H2134" s="64">
        <v>0.99660000000000004</v>
      </c>
      <c r="I2134" s="62">
        <v>9730357</v>
      </c>
      <c r="J2134" s="65">
        <v>0.99729999999999996</v>
      </c>
    </row>
    <row r="2135" spans="1:11">
      <c r="A2135" s="3" t="s">
        <v>11</v>
      </c>
      <c r="B2135" s="103">
        <v>49999</v>
      </c>
      <c r="C2135" s="57">
        <v>754</v>
      </c>
      <c r="D2135" s="61">
        <v>1.5100000000000001E-2</v>
      </c>
      <c r="E2135" s="62">
        <v>48262</v>
      </c>
      <c r="F2135" s="63">
        <v>2.92E-2</v>
      </c>
      <c r="G2135" s="62">
        <v>49245</v>
      </c>
      <c r="H2135" s="64">
        <v>0.9849</v>
      </c>
      <c r="I2135" s="62">
        <v>1602427</v>
      </c>
      <c r="J2135" s="65">
        <v>0.9708</v>
      </c>
    </row>
    <row r="2136" spans="1:11">
      <c r="A2136" s="3" t="s">
        <v>12</v>
      </c>
      <c r="B2136" s="103">
        <v>11358</v>
      </c>
      <c r="C2136" s="62">
        <v>2641</v>
      </c>
      <c r="D2136" s="61">
        <v>0.23250000000000001</v>
      </c>
      <c r="E2136" s="62">
        <v>2151271</v>
      </c>
      <c r="F2136" s="63">
        <v>0.3654</v>
      </c>
      <c r="G2136" s="62">
        <v>8717</v>
      </c>
      <c r="H2136" s="64">
        <v>0.76749999999999996</v>
      </c>
      <c r="I2136" s="62">
        <v>3735751</v>
      </c>
      <c r="J2136" s="65">
        <v>0.63460000000000005</v>
      </c>
    </row>
    <row r="2137" spans="1:11">
      <c r="A2137" s="3" t="s">
        <v>13</v>
      </c>
      <c r="B2137" s="103">
        <v>401</v>
      </c>
      <c r="C2137" s="57">
        <v>305</v>
      </c>
      <c r="D2137" s="61">
        <v>0.76060000000000005</v>
      </c>
      <c r="E2137" s="62">
        <v>7423753</v>
      </c>
      <c r="F2137" s="63">
        <v>0.92859999999999998</v>
      </c>
      <c r="G2137" s="57">
        <v>96</v>
      </c>
      <c r="H2137" s="64">
        <v>0.2394</v>
      </c>
      <c r="I2137" s="62">
        <v>571088</v>
      </c>
      <c r="J2137" s="65">
        <v>7.1400000000000005E-2</v>
      </c>
      <c r="K2137" s="3" t="s">
        <v>10</v>
      </c>
    </row>
    <row r="2138" spans="1:11" ht="15.75" thickBot="1">
      <c r="A2138" s="3" t="s">
        <v>181</v>
      </c>
      <c r="B2138" s="103">
        <v>437</v>
      </c>
      <c r="C2138" s="105">
        <v>33</v>
      </c>
      <c r="D2138" s="106">
        <v>7.5499999999999998E-2</v>
      </c>
      <c r="E2138" s="62">
        <v>23894</v>
      </c>
      <c r="F2138" s="66">
        <v>0.73370000000000002</v>
      </c>
      <c r="G2138" s="50">
        <v>404</v>
      </c>
      <c r="H2138" s="68">
        <v>0.92449999999999999</v>
      </c>
      <c r="I2138" s="62">
        <v>8674</v>
      </c>
      <c r="J2138" s="104">
        <v>0.26629999999999998</v>
      </c>
      <c r="K2138" s="3" t="s">
        <v>11</v>
      </c>
    </row>
    <row r="2139" spans="1:11" ht="17.25" thickTop="1" thickBot="1">
      <c r="A2139" s="34" t="s">
        <v>175</v>
      </c>
      <c r="B2139" s="84">
        <f>SUM(B2134:B2138)</f>
        <v>594646</v>
      </c>
      <c r="C2139" s="74">
        <f>SUM(C2134:C2138)</f>
        <v>5532</v>
      </c>
      <c r="D2139" s="107">
        <v>9.2999999999999992E-3</v>
      </c>
      <c r="E2139" s="74">
        <f>SUM(E2134:E2138)</f>
        <v>9673420</v>
      </c>
      <c r="F2139" s="73">
        <v>0.38200000000000001</v>
      </c>
      <c r="G2139" s="74">
        <f>SUM(G2134:G2138)</f>
        <v>589114</v>
      </c>
      <c r="H2139" s="75">
        <v>0.99070000000000003</v>
      </c>
      <c r="I2139" s="74">
        <f>SUM(I2134:I2138)</f>
        <v>15648297</v>
      </c>
      <c r="J2139" s="76">
        <v>0.61799999999999999</v>
      </c>
      <c r="K2139" s="3" t="s">
        <v>12</v>
      </c>
    </row>
    <row r="2140" spans="1:11" ht="17.25" thickTop="1" thickBot="1">
      <c r="A2140" s="1" t="s">
        <v>230</v>
      </c>
      <c r="B2140" s="97"/>
      <c r="C2140" s="164" t="s">
        <v>179</v>
      </c>
      <c r="D2140" s="166"/>
      <c r="E2140" s="166"/>
      <c r="F2140" s="167"/>
      <c r="G2140" s="168" t="s">
        <v>180</v>
      </c>
      <c r="H2140" s="166"/>
      <c r="I2140" s="166"/>
      <c r="J2140" s="167"/>
      <c r="K2140" s="3" t="s">
        <v>13</v>
      </c>
    </row>
    <row r="2141" spans="1:11" ht="15.75" thickTop="1">
      <c r="B2141" s="42" t="s">
        <v>4</v>
      </c>
      <c r="C2141" s="43" t="s">
        <v>5</v>
      </c>
      <c r="D2141" s="44"/>
      <c r="E2141" s="169" t="s">
        <v>6</v>
      </c>
      <c r="F2141" s="170"/>
      <c r="G2141" s="43" t="s">
        <v>7</v>
      </c>
      <c r="H2141" s="46"/>
      <c r="I2141" s="169" t="s">
        <v>6</v>
      </c>
      <c r="J2141" s="171"/>
      <c r="K2141" s="3" t="s">
        <v>181</v>
      </c>
    </row>
    <row r="2142" spans="1:11" ht="15.75" thickBot="1">
      <c r="B2142" s="49" t="s">
        <v>8</v>
      </c>
      <c r="C2142" s="50" t="s">
        <v>8</v>
      </c>
      <c r="D2142" s="51" t="s">
        <v>9</v>
      </c>
      <c r="E2142" s="50" t="s">
        <v>8</v>
      </c>
      <c r="F2142" s="52" t="s">
        <v>9</v>
      </c>
      <c r="G2142" s="53" t="s">
        <v>8</v>
      </c>
      <c r="H2142" s="54" t="s">
        <v>9</v>
      </c>
      <c r="I2142" s="53" t="s">
        <v>8</v>
      </c>
      <c r="J2142" s="55" t="s">
        <v>9</v>
      </c>
    </row>
    <row r="2143" spans="1:11" ht="15.75" thickTop="1">
      <c r="C2143" s="43"/>
      <c r="E2143" s="57"/>
      <c r="F2143" s="58"/>
      <c r="G2143" s="57"/>
      <c r="I2143" s="57"/>
    </row>
    <row r="2144" spans="1:11">
      <c r="A2144" s="3" t="s">
        <v>10</v>
      </c>
      <c r="B2144" s="103">
        <v>532015</v>
      </c>
      <c r="C2144" s="62">
        <v>1582</v>
      </c>
      <c r="D2144" s="61">
        <v>3.0000000000000001E-3</v>
      </c>
      <c r="E2144" s="62">
        <v>29018</v>
      </c>
      <c r="F2144" s="63">
        <v>2.7000000000000001E-3</v>
      </c>
      <c r="G2144" s="62">
        <v>530433</v>
      </c>
      <c r="H2144" s="64">
        <v>0.997</v>
      </c>
      <c r="I2144" s="62">
        <v>10735712</v>
      </c>
      <c r="J2144" s="65">
        <v>0.99729999999999996</v>
      </c>
      <c r="K2144" s="22"/>
    </row>
    <row r="2145" spans="1:11" ht="15.75">
      <c r="A2145" s="3" t="s">
        <v>11</v>
      </c>
      <c r="B2145" s="103">
        <v>49961</v>
      </c>
      <c r="C2145" s="57">
        <v>719</v>
      </c>
      <c r="D2145" s="61">
        <v>1.44E-2</v>
      </c>
      <c r="E2145" s="62">
        <v>54921</v>
      </c>
      <c r="F2145" s="63">
        <v>0.03</v>
      </c>
      <c r="G2145" s="62">
        <v>49242</v>
      </c>
      <c r="H2145" s="64">
        <v>0.98560000000000003</v>
      </c>
      <c r="I2145" s="62">
        <v>1775726</v>
      </c>
      <c r="J2145" s="65">
        <v>0.97</v>
      </c>
      <c r="K2145" s="1" t="s">
        <v>125</v>
      </c>
    </row>
    <row r="2146" spans="1:11">
      <c r="A2146" s="3" t="s">
        <v>12</v>
      </c>
      <c r="B2146" s="103">
        <v>11346</v>
      </c>
      <c r="C2146" s="62">
        <v>2659</v>
      </c>
      <c r="D2146" s="61">
        <v>0.2344</v>
      </c>
      <c r="E2146" s="62">
        <v>2433093</v>
      </c>
      <c r="F2146" s="63">
        <v>0.371</v>
      </c>
      <c r="G2146" s="62">
        <v>8687</v>
      </c>
      <c r="H2146" s="64">
        <v>0.76559999999999995</v>
      </c>
      <c r="I2146" s="62">
        <v>4124702</v>
      </c>
      <c r="J2146" s="65">
        <v>0.629</v>
      </c>
    </row>
    <row r="2147" spans="1:11">
      <c r="A2147" s="3" t="s">
        <v>13</v>
      </c>
      <c r="B2147" s="103">
        <v>399</v>
      </c>
      <c r="C2147" s="57">
        <v>305</v>
      </c>
      <c r="D2147" s="61">
        <v>0.76439999999999997</v>
      </c>
      <c r="E2147" s="62">
        <v>7750052</v>
      </c>
      <c r="F2147" s="63">
        <v>0.93049999999999999</v>
      </c>
      <c r="G2147" s="57">
        <v>94</v>
      </c>
      <c r="H2147" s="64">
        <v>0.2356</v>
      </c>
      <c r="I2147" s="62">
        <v>578694</v>
      </c>
      <c r="J2147" s="65">
        <v>6.9500000000000006E-2</v>
      </c>
    </row>
    <row r="2148" spans="1:11" ht="15.75" thickBot="1">
      <c r="A2148" s="3" t="s">
        <v>181</v>
      </c>
      <c r="B2148" s="103">
        <v>438</v>
      </c>
      <c r="C2148" s="105">
        <v>32</v>
      </c>
      <c r="D2148" s="106">
        <v>7.3099999999999998E-2</v>
      </c>
      <c r="E2148" s="62">
        <v>25188</v>
      </c>
      <c r="F2148" s="66">
        <v>0.73350000000000004</v>
      </c>
      <c r="G2148" s="50">
        <v>406</v>
      </c>
      <c r="H2148" s="68">
        <v>0.92689999999999995</v>
      </c>
      <c r="I2148" s="62">
        <v>9149</v>
      </c>
      <c r="J2148" s="104">
        <v>0.26650000000000001</v>
      </c>
    </row>
    <row r="2149" spans="1:11" ht="17.25" thickTop="1" thickBot="1">
      <c r="A2149" s="34" t="s">
        <v>175</v>
      </c>
      <c r="B2149" s="84">
        <f>SUM(B2144:B2148)</f>
        <v>594159</v>
      </c>
      <c r="C2149" s="74">
        <f>SUM(C2144:C2148)</f>
        <v>5297</v>
      </c>
      <c r="D2149" s="107">
        <v>8.8999999999999999E-3</v>
      </c>
      <c r="E2149" s="74">
        <f>SUM(E2144:E2148)</f>
        <v>10292272</v>
      </c>
      <c r="F2149" s="73">
        <v>0.374</v>
      </c>
      <c r="G2149" s="74">
        <f>SUM(G2144:G2148)</f>
        <v>588862</v>
      </c>
      <c r="H2149" s="75">
        <v>0.99109999999999998</v>
      </c>
      <c r="I2149" s="74">
        <f>SUM(I2144:I2148)</f>
        <v>17223983</v>
      </c>
      <c r="J2149" s="76">
        <v>0.626</v>
      </c>
      <c r="K2149" s="3" t="s">
        <v>10</v>
      </c>
    </row>
    <row r="2150" spans="1:11" ht="17.25" thickTop="1" thickBot="1">
      <c r="A2150" s="1" t="s">
        <v>231</v>
      </c>
      <c r="B2150" s="97"/>
      <c r="C2150" s="164" t="s">
        <v>179</v>
      </c>
      <c r="D2150" s="166"/>
      <c r="E2150" s="166"/>
      <c r="F2150" s="167"/>
      <c r="G2150" s="168" t="s">
        <v>180</v>
      </c>
      <c r="H2150" s="166"/>
      <c r="I2150" s="166"/>
      <c r="J2150" s="167"/>
      <c r="K2150" s="3" t="s">
        <v>11</v>
      </c>
    </row>
    <row r="2151" spans="1:11" ht="15.75" thickTop="1">
      <c r="B2151" s="42" t="s">
        <v>4</v>
      </c>
      <c r="C2151" s="43" t="s">
        <v>5</v>
      </c>
      <c r="D2151" s="44"/>
      <c r="E2151" s="169" t="s">
        <v>6</v>
      </c>
      <c r="F2151" s="170"/>
      <c r="G2151" s="43" t="s">
        <v>7</v>
      </c>
      <c r="H2151" s="46"/>
      <c r="I2151" s="169" t="s">
        <v>6</v>
      </c>
      <c r="J2151" s="171"/>
      <c r="K2151" s="3" t="s">
        <v>12</v>
      </c>
    </row>
    <row r="2152" spans="1:11" ht="15.75" thickBot="1">
      <c r="B2152" s="49" t="s">
        <v>8</v>
      </c>
      <c r="C2152" s="50" t="s">
        <v>8</v>
      </c>
      <c r="D2152" s="51" t="s">
        <v>9</v>
      </c>
      <c r="E2152" s="50" t="s">
        <v>8</v>
      </c>
      <c r="F2152" s="52" t="s">
        <v>9</v>
      </c>
      <c r="G2152" s="53" t="s">
        <v>8</v>
      </c>
      <c r="H2152" s="54" t="s">
        <v>9</v>
      </c>
      <c r="I2152" s="53" t="s">
        <v>8</v>
      </c>
      <c r="J2152" s="55" t="s">
        <v>9</v>
      </c>
      <c r="K2152" s="3" t="s">
        <v>13</v>
      </c>
    </row>
    <row r="2153" spans="1:11" ht="15.75" thickTop="1">
      <c r="C2153" s="43"/>
      <c r="E2153" s="57"/>
      <c r="F2153" s="58"/>
      <c r="G2153" s="57"/>
      <c r="I2153" s="57"/>
      <c r="K2153" s="3" t="s">
        <v>181</v>
      </c>
    </row>
    <row r="2154" spans="1:11">
      <c r="A2154" s="3" t="s">
        <v>10</v>
      </c>
      <c r="B2154" s="103">
        <v>532117</v>
      </c>
      <c r="C2154" s="62">
        <v>1574</v>
      </c>
      <c r="D2154" s="61">
        <v>3.0000000000000001E-3</v>
      </c>
      <c r="E2154" s="62">
        <v>23787</v>
      </c>
      <c r="F2154" s="63">
        <v>2.5000000000000001E-3</v>
      </c>
      <c r="G2154" s="62">
        <v>530543</v>
      </c>
      <c r="H2154" s="64">
        <v>0.997</v>
      </c>
      <c r="I2154" s="62">
        <v>9564607</v>
      </c>
      <c r="J2154" s="65">
        <v>0.99750000000000005</v>
      </c>
    </row>
    <row r="2155" spans="1:11">
      <c r="A2155" s="3" t="s">
        <v>11</v>
      </c>
      <c r="B2155" s="103">
        <v>49957</v>
      </c>
      <c r="C2155" s="57">
        <v>719</v>
      </c>
      <c r="D2155" s="61">
        <v>1.44E-2</v>
      </c>
      <c r="E2155" s="62">
        <v>52405</v>
      </c>
      <c r="F2155" s="63">
        <v>3.0599999999999999E-2</v>
      </c>
      <c r="G2155" s="62">
        <v>49238</v>
      </c>
      <c r="H2155" s="64">
        <v>0.98560000000000003</v>
      </c>
      <c r="I2155" s="62">
        <v>1658146</v>
      </c>
      <c r="J2155" s="65">
        <v>0.96940000000000004</v>
      </c>
    </row>
    <row r="2156" spans="1:11">
      <c r="A2156" s="3" t="s">
        <v>12</v>
      </c>
      <c r="B2156" s="103">
        <v>11335</v>
      </c>
      <c r="C2156" s="62">
        <v>2656</v>
      </c>
      <c r="D2156" s="61">
        <v>0.23430000000000001</v>
      </c>
      <c r="E2156" s="62">
        <v>2436032</v>
      </c>
      <c r="F2156" s="63">
        <v>0.39250000000000002</v>
      </c>
      <c r="G2156" s="62">
        <v>8679</v>
      </c>
      <c r="H2156" s="64">
        <v>0.76570000000000005</v>
      </c>
      <c r="I2156" s="62">
        <v>3770342</v>
      </c>
      <c r="J2156" s="65">
        <v>0.60750000000000004</v>
      </c>
      <c r="K2156" s="22"/>
    </row>
    <row r="2157" spans="1:11" ht="15.75">
      <c r="A2157" s="3" t="s">
        <v>13</v>
      </c>
      <c r="B2157" s="103">
        <v>399</v>
      </c>
      <c r="C2157" s="57">
        <v>305</v>
      </c>
      <c r="D2157" s="61">
        <v>0.76439999999999997</v>
      </c>
      <c r="E2157" s="62">
        <v>7325732</v>
      </c>
      <c r="F2157" s="63">
        <v>0.92989999999999995</v>
      </c>
      <c r="G2157" s="57">
        <v>94</v>
      </c>
      <c r="H2157" s="64">
        <v>0.2356</v>
      </c>
      <c r="I2157" s="62">
        <v>552472</v>
      </c>
      <c r="J2157" s="65">
        <v>7.0099999999999996E-2</v>
      </c>
      <c r="K2157" s="1" t="s">
        <v>125</v>
      </c>
    </row>
    <row r="2158" spans="1:11" ht="15.75" thickBot="1">
      <c r="A2158" s="3" t="s">
        <v>181</v>
      </c>
      <c r="B2158" s="103">
        <v>438</v>
      </c>
      <c r="C2158" s="105">
        <v>32</v>
      </c>
      <c r="D2158" s="106">
        <v>7.3099999999999998E-2</v>
      </c>
      <c r="E2158" s="62">
        <v>26500</v>
      </c>
      <c r="F2158" s="66">
        <v>0.73750000000000004</v>
      </c>
      <c r="G2158" s="50">
        <v>406</v>
      </c>
      <c r="H2158" s="68">
        <v>0.92689999999999995</v>
      </c>
      <c r="I2158" s="62">
        <v>9431</v>
      </c>
      <c r="J2158" s="104">
        <v>0.26250000000000001</v>
      </c>
    </row>
    <row r="2159" spans="1:11" ht="17.25" thickTop="1" thickBot="1">
      <c r="A2159" s="34" t="s">
        <v>175</v>
      </c>
      <c r="B2159" s="84">
        <f>SUM(B2154:B2158)</f>
        <v>594246</v>
      </c>
      <c r="C2159" s="74">
        <f>SUM(C2154:C2158)</f>
        <v>5286</v>
      </c>
      <c r="D2159" s="107">
        <v>8.8999999999999999E-3</v>
      </c>
      <c r="E2159" s="74">
        <f>SUM(E2154:E2158)</f>
        <v>9864456</v>
      </c>
      <c r="F2159" s="73">
        <v>0.3881</v>
      </c>
      <c r="G2159" s="74">
        <f>SUM(G2154:G2158)</f>
        <v>588960</v>
      </c>
      <c r="H2159" s="75">
        <v>0.99109999999999998</v>
      </c>
      <c r="I2159" s="74">
        <f>SUM(I2154:I2158)</f>
        <v>15554998</v>
      </c>
      <c r="J2159" s="76">
        <v>0.6119</v>
      </c>
    </row>
    <row r="2160" spans="1:11" ht="17.25" thickTop="1" thickBot="1">
      <c r="A2160" s="1" t="s">
        <v>232</v>
      </c>
      <c r="B2160" s="97"/>
      <c r="C2160" s="164" t="s">
        <v>179</v>
      </c>
      <c r="D2160" s="166"/>
      <c r="E2160" s="166"/>
      <c r="F2160" s="167"/>
      <c r="G2160" s="168" t="s">
        <v>180</v>
      </c>
      <c r="H2160" s="166"/>
      <c r="I2160" s="166"/>
      <c r="J2160" s="167"/>
    </row>
    <row r="2161" spans="1:11" ht="15.75" thickTop="1">
      <c r="B2161" s="42" t="s">
        <v>4</v>
      </c>
      <c r="C2161" s="43" t="s">
        <v>5</v>
      </c>
      <c r="D2161" s="44"/>
      <c r="E2161" s="169" t="s">
        <v>6</v>
      </c>
      <c r="F2161" s="170"/>
      <c r="G2161" s="43" t="s">
        <v>7</v>
      </c>
      <c r="H2161" s="46"/>
      <c r="I2161" s="169" t="s">
        <v>6</v>
      </c>
      <c r="J2161" s="171"/>
      <c r="K2161" s="3" t="s">
        <v>10</v>
      </c>
    </row>
    <row r="2162" spans="1:11" ht="15.75" thickBot="1">
      <c r="B2162" s="49" t="s">
        <v>8</v>
      </c>
      <c r="C2162" s="50" t="s">
        <v>8</v>
      </c>
      <c r="D2162" s="51" t="s">
        <v>9</v>
      </c>
      <c r="E2162" s="50" t="s">
        <v>8</v>
      </c>
      <c r="F2162" s="52" t="s">
        <v>9</v>
      </c>
      <c r="G2162" s="53" t="s">
        <v>8</v>
      </c>
      <c r="H2162" s="54" t="s">
        <v>9</v>
      </c>
      <c r="I2162" s="53" t="s">
        <v>8</v>
      </c>
      <c r="J2162" s="55" t="s">
        <v>9</v>
      </c>
      <c r="K2162" s="3" t="s">
        <v>11</v>
      </c>
    </row>
    <row r="2163" spans="1:11" ht="15.75" thickTop="1">
      <c r="C2163" s="43"/>
      <c r="E2163" s="57"/>
      <c r="F2163" s="58"/>
      <c r="G2163" s="57"/>
      <c r="I2163" s="57"/>
      <c r="K2163" s="3" t="s">
        <v>12</v>
      </c>
    </row>
    <row r="2164" spans="1:11">
      <c r="A2164" s="3" t="s">
        <v>10</v>
      </c>
      <c r="B2164" s="103">
        <v>532297</v>
      </c>
      <c r="C2164" s="62">
        <v>1461</v>
      </c>
      <c r="D2164" s="61">
        <v>2.7000000000000001E-3</v>
      </c>
      <c r="E2164" s="62">
        <v>19889</v>
      </c>
      <c r="F2164" s="63">
        <v>2.3E-3</v>
      </c>
      <c r="G2164" s="62">
        <v>530836</v>
      </c>
      <c r="H2164" s="64">
        <v>0.99729999999999996</v>
      </c>
      <c r="I2164" s="62">
        <v>8548991</v>
      </c>
      <c r="J2164" s="65">
        <v>0.99770000000000003</v>
      </c>
      <c r="K2164" s="3" t="s">
        <v>13</v>
      </c>
    </row>
    <row r="2165" spans="1:11">
      <c r="A2165" s="3" t="s">
        <v>11</v>
      </c>
      <c r="B2165" s="103">
        <v>49917</v>
      </c>
      <c r="C2165" s="57">
        <v>693</v>
      </c>
      <c r="D2165" s="61">
        <v>1.3899999999999999E-2</v>
      </c>
      <c r="E2165" s="62">
        <v>43842</v>
      </c>
      <c r="F2165" s="63">
        <v>3.09E-2</v>
      </c>
      <c r="G2165" s="62">
        <v>49224</v>
      </c>
      <c r="H2165" s="64">
        <v>0.98609999999999998</v>
      </c>
      <c r="I2165" s="62">
        <v>1377109</v>
      </c>
      <c r="J2165" s="65">
        <v>0.96909999999999996</v>
      </c>
      <c r="K2165" s="3" t="s">
        <v>181</v>
      </c>
    </row>
    <row r="2166" spans="1:11">
      <c r="A2166" s="3" t="s">
        <v>12</v>
      </c>
      <c r="B2166" s="103">
        <v>11328</v>
      </c>
      <c r="C2166" s="62">
        <v>2683</v>
      </c>
      <c r="D2166" s="61">
        <v>0.23680000000000001</v>
      </c>
      <c r="E2166" s="62">
        <v>2166551</v>
      </c>
      <c r="F2166" s="63">
        <v>0.40789999999999998</v>
      </c>
      <c r="G2166" s="62">
        <v>8645</v>
      </c>
      <c r="H2166" s="64">
        <v>0.76319999999999999</v>
      </c>
      <c r="I2166" s="62">
        <v>3145399</v>
      </c>
      <c r="J2166" s="65">
        <v>0.59209999999999996</v>
      </c>
    </row>
    <row r="2167" spans="1:11">
      <c r="A2167" s="3" t="s">
        <v>13</v>
      </c>
      <c r="B2167" s="103">
        <v>399</v>
      </c>
      <c r="C2167" s="57">
        <v>308</v>
      </c>
      <c r="D2167" s="61">
        <v>0.77190000000000003</v>
      </c>
      <c r="E2167" s="62">
        <v>6661701</v>
      </c>
      <c r="F2167" s="63">
        <v>0.93110000000000004</v>
      </c>
      <c r="G2167" s="57">
        <v>91</v>
      </c>
      <c r="H2167" s="64">
        <v>0.2281</v>
      </c>
      <c r="I2167" s="62">
        <v>492970</v>
      </c>
      <c r="J2167" s="65">
        <v>6.8900000000000003E-2</v>
      </c>
    </row>
    <row r="2168" spans="1:11" ht="15.75" thickBot="1">
      <c r="A2168" s="3" t="s">
        <v>181</v>
      </c>
      <c r="B2168" s="103">
        <v>440</v>
      </c>
      <c r="C2168" s="105">
        <v>32</v>
      </c>
      <c r="D2168" s="106">
        <v>7.2700000000000001E-2</v>
      </c>
      <c r="E2168" s="62">
        <v>24886</v>
      </c>
      <c r="F2168" s="66">
        <v>0.79469999999999996</v>
      </c>
      <c r="G2168" s="50">
        <v>408</v>
      </c>
      <c r="H2168" s="68">
        <v>0.92730000000000001</v>
      </c>
      <c r="I2168" s="62">
        <v>8985</v>
      </c>
      <c r="J2168" s="104">
        <v>0.26529999999999998</v>
      </c>
      <c r="K2168" s="22"/>
    </row>
    <row r="2169" spans="1:11" ht="17.25" thickTop="1" thickBot="1">
      <c r="A2169" s="34" t="s">
        <v>175</v>
      </c>
      <c r="B2169" s="84">
        <f>SUM(B2164:B2168)</f>
        <v>594381</v>
      </c>
      <c r="C2169" s="74">
        <f>SUM(C2164:C2168)</f>
        <v>5177</v>
      </c>
      <c r="D2169" s="107">
        <v>8.6999999999999994E-3</v>
      </c>
      <c r="E2169" s="74">
        <f>SUM(E2164:E2168)</f>
        <v>8916869</v>
      </c>
      <c r="F2169" s="73">
        <v>0.39650000000000002</v>
      </c>
      <c r="G2169" s="74">
        <f>SUM(G2164:G2168)</f>
        <v>589204</v>
      </c>
      <c r="H2169" s="75">
        <v>0.99129999999999996</v>
      </c>
      <c r="I2169" s="74">
        <f>SUM(I2164:I2168)</f>
        <v>13573454</v>
      </c>
      <c r="J2169" s="76">
        <v>0.60350000000000004</v>
      </c>
      <c r="K2169" s="1" t="s">
        <v>125</v>
      </c>
    </row>
    <row r="2170" spans="1:11" ht="17.25" thickTop="1" thickBot="1">
      <c r="A2170" s="1" t="s">
        <v>233</v>
      </c>
      <c r="B2170" s="97"/>
      <c r="C2170" s="164" t="s">
        <v>179</v>
      </c>
      <c r="D2170" s="166"/>
      <c r="E2170" s="166"/>
      <c r="F2170" s="167"/>
      <c r="G2170" s="168" t="s">
        <v>180</v>
      </c>
      <c r="H2170" s="166"/>
      <c r="I2170" s="166"/>
      <c r="J2170" s="167"/>
    </row>
    <row r="2171" spans="1:11" ht="15.75" thickTop="1">
      <c r="B2171" s="42" t="s">
        <v>4</v>
      </c>
      <c r="C2171" s="43" t="s">
        <v>5</v>
      </c>
      <c r="D2171" s="44"/>
      <c r="E2171" s="169" t="s">
        <v>6</v>
      </c>
      <c r="F2171" s="170"/>
      <c r="G2171" s="43" t="s">
        <v>7</v>
      </c>
      <c r="H2171" s="46"/>
      <c r="I2171" s="169" t="s">
        <v>6</v>
      </c>
      <c r="J2171" s="171"/>
    </row>
    <row r="2172" spans="1:11" ht="15.75" thickBot="1">
      <c r="B2172" s="49" t="s">
        <v>8</v>
      </c>
      <c r="C2172" s="50" t="s">
        <v>8</v>
      </c>
      <c r="D2172" s="51" t="s">
        <v>9</v>
      </c>
      <c r="E2172" s="50" t="s">
        <v>8</v>
      </c>
      <c r="F2172" s="52" t="s">
        <v>9</v>
      </c>
      <c r="G2172" s="53" t="s">
        <v>8</v>
      </c>
      <c r="H2172" s="54" t="s">
        <v>9</v>
      </c>
      <c r="I2172" s="53" t="s">
        <v>8</v>
      </c>
      <c r="J2172" s="55" t="s">
        <v>9</v>
      </c>
    </row>
    <row r="2173" spans="1:11" ht="15.75" thickTop="1">
      <c r="C2173" s="43"/>
      <c r="E2173" s="57"/>
      <c r="F2173" s="58"/>
      <c r="G2173" s="57"/>
      <c r="I2173" s="57"/>
      <c r="K2173" s="3" t="s">
        <v>10</v>
      </c>
    </row>
    <row r="2174" spans="1:11">
      <c r="A2174" s="3" t="s">
        <v>10</v>
      </c>
      <c r="B2174" s="103">
        <v>533069</v>
      </c>
      <c r="C2174" s="62">
        <v>1312</v>
      </c>
      <c r="D2174" s="61">
        <v>2.5000000000000001E-3</v>
      </c>
      <c r="E2174" s="62">
        <v>19456</v>
      </c>
      <c r="F2174" s="63">
        <v>2.2000000000000001E-3</v>
      </c>
      <c r="G2174" s="62">
        <v>531757</v>
      </c>
      <c r="H2174" s="64">
        <v>0.99750000000000005</v>
      </c>
      <c r="I2174" s="62">
        <v>8765057</v>
      </c>
      <c r="J2174" s="65">
        <v>0.99780000000000002</v>
      </c>
      <c r="K2174" s="3" t="s">
        <v>11</v>
      </c>
    </row>
    <row r="2175" spans="1:11">
      <c r="A2175" s="3" t="s">
        <v>11</v>
      </c>
      <c r="B2175" s="103">
        <v>49871</v>
      </c>
      <c r="C2175" s="57">
        <v>665</v>
      </c>
      <c r="D2175" s="61">
        <v>1.3299999999999999E-2</v>
      </c>
      <c r="E2175" s="62">
        <v>43054</v>
      </c>
      <c r="F2175" s="63">
        <v>3.0599999999999999E-2</v>
      </c>
      <c r="G2175" s="62">
        <v>49206</v>
      </c>
      <c r="H2175" s="64">
        <v>0.98680000000000001</v>
      </c>
      <c r="I2175" s="62">
        <v>1364039</v>
      </c>
      <c r="J2175" s="65">
        <v>0.96970000000000001</v>
      </c>
      <c r="K2175" s="3" t="s">
        <v>12</v>
      </c>
    </row>
    <row r="2176" spans="1:11">
      <c r="A2176" s="3" t="s">
        <v>12</v>
      </c>
      <c r="B2176" s="103">
        <v>11317</v>
      </c>
      <c r="C2176" s="62">
        <v>2705</v>
      </c>
      <c r="D2176" s="61">
        <v>0.23899999999999999</v>
      </c>
      <c r="E2176" s="62">
        <v>2111560</v>
      </c>
      <c r="F2176" s="63">
        <v>0.41660000000000003</v>
      </c>
      <c r="G2176" s="62">
        <v>8612</v>
      </c>
      <c r="H2176" s="64">
        <v>0.76100000000000001</v>
      </c>
      <c r="I2176" s="62">
        <v>2957522</v>
      </c>
      <c r="J2176" s="65">
        <v>0.58340000000000003</v>
      </c>
      <c r="K2176" s="3" t="s">
        <v>13</v>
      </c>
    </row>
    <row r="2177" spans="1:11">
      <c r="A2177" s="3" t="s">
        <v>13</v>
      </c>
      <c r="B2177" s="103">
        <v>400</v>
      </c>
      <c r="C2177" s="57">
        <v>311</v>
      </c>
      <c r="D2177" s="61">
        <v>0.77749999999999997</v>
      </c>
      <c r="E2177" s="62">
        <v>6837351</v>
      </c>
      <c r="F2177" s="63">
        <v>0.92859999999999998</v>
      </c>
      <c r="G2177" s="57">
        <v>89</v>
      </c>
      <c r="H2177" s="64">
        <v>0.2225</v>
      </c>
      <c r="I2177" s="62">
        <v>526109</v>
      </c>
      <c r="J2177" s="65">
        <v>7.1400000000000005E-2</v>
      </c>
      <c r="K2177" s="3" t="s">
        <v>181</v>
      </c>
    </row>
    <row r="2178" spans="1:11" ht="15.75" thickBot="1">
      <c r="A2178" s="3" t="s">
        <v>181</v>
      </c>
      <c r="B2178" s="103">
        <v>440</v>
      </c>
      <c r="C2178" s="105">
        <v>32</v>
      </c>
      <c r="D2178" s="106">
        <v>7.2700000000000001E-2</v>
      </c>
      <c r="E2178" s="62">
        <v>29452</v>
      </c>
      <c r="F2178" s="66">
        <v>0.73860000000000003</v>
      </c>
      <c r="G2178" s="50">
        <v>408</v>
      </c>
      <c r="H2178" s="68">
        <v>0.92730000000000001</v>
      </c>
      <c r="I2178" s="62">
        <v>10425</v>
      </c>
      <c r="J2178" s="104">
        <v>0.26140000000000002</v>
      </c>
    </row>
    <row r="2179" spans="1:11" ht="17.25" thickTop="1" thickBot="1">
      <c r="A2179" s="34" t="s">
        <v>175</v>
      </c>
      <c r="B2179" s="84">
        <f>SUM(B2174:B2178)</f>
        <v>595097</v>
      </c>
      <c r="C2179" s="74">
        <f>SUM(C2174:C2178)</f>
        <v>5025</v>
      </c>
      <c r="D2179" s="107">
        <v>8.3999999999999995E-3</v>
      </c>
      <c r="E2179" s="74">
        <f>SUM(E2174:E2178)</f>
        <v>9040873</v>
      </c>
      <c r="F2179" s="73">
        <v>0.39889999999999998</v>
      </c>
      <c r="G2179" s="74">
        <f>SUM(G2174:G2178)</f>
        <v>590072</v>
      </c>
      <c r="H2179" s="75">
        <v>0.99160000000000004</v>
      </c>
      <c r="I2179" s="74">
        <f>SUM(I2174:I2178)</f>
        <v>13623152</v>
      </c>
      <c r="J2179" s="76">
        <v>0.60109999999999997</v>
      </c>
    </row>
    <row r="2180" spans="1:11" ht="17.25" thickTop="1" thickBot="1">
      <c r="A2180" s="1" t="s">
        <v>234</v>
      </c>
      <c r="B2180" s="97"/>
      <c r="C2180" s="164" t="s">
        <v>179</v>
      </c>
      <c r="D2180" s="166"/>
      <c r="E2180" s="166"/>
      <c r="F2180" s="167"/>
      <c r="G2180" s="168" t="s">
        <v>180</v>
      </c>
      <c r="H2180" s="166"/>
      <c r="I2180" s="166"/>
      <c r="J2180" s="167"/>
      <c r="K2180" s="22"/>
    </row>
    <row r="2181" spans="1:11" ht="16.5" thickTop="1">
      <c r="B2181" s="42" t="s">
        <v>4</v>
      </c>
      <c r="C2181" s="43" t="s">
        <v>5</v>
      </c>
      <c r="D2181" s="44"/>
      <c r="E2181" s="169" t="s">
        <v>6</v>
      </c>
      <c r="F2181" s="170"/>
      <c r="G2181" s="43" t="s">
        <v>7</v>
      </c>
      <c r="H2181" s="46"/>
      <c r="I2181" s="169" t="s">
        <v>6</v>
      </c>
      <c r="J2181" s="171"/>
      <c r="K2181" s="1" t="s">
        <v>125</v>
      </c>
    </row>
    <row r="2182" spans="1:11" ht="15.75" thickBot="1">
      <c r="B2182" s="49" t="s">
        <v>8</v>
      </c>
      <c r="C2182" s="50" t="s">
        <v>8</v>
      </c>
      <c r="D2182" s="51" t="s">
        <v>9</v>
      </c>
      <c r="E2182" s="50" t="s">
        <v>8</v>
      </c>
      <c r="F2182" s="52" t="s">
        <v>9</v>
      </c>
      <c r="G2182" s="53" t="s">
        <v>8</v>
      </c>
      <c r="H2182" s="54" t="s">
        <v>9</v>
      </c>
      <c r="I2182" s="53" t="s">
        <v>8</v>
      </c>
      <c r="J2182" s="55" t="s">
        <v>9</v>
      </c>
    </row>
    <row r="2183" spans="1:11" ht="15.75" thickTop="1">
      <c r="C2183" s="43"/>
      <c r="E2183" s="57"/>
      <c r="F2183" s="58"/>
      <c r="G2183" s="57"/>
      <c r="I2183" s="57"/>
    </row>
    <row r="2184" spans="1:11">
      <c r="A2184" s="3" t="s">
        <v>10</v>
      </c>
      <c r="B2184" s="103">
        <v>533007</v>
      </c>
      <c r="C2184" s="62">
        <v>1704</v>
      </c>
      <c r="D2184" s="61">
        <v>3.2000000000000002E-3</v>
      </c>
      <c r="E2184" s="62">
        <v>29115</v>
      </c>
      <c r="F2184" s="63">
        <v>2.8E-3</v>
      </c>
      <c r="G2184" s="62">
        <v>531303</v>
      </c>
      <c r="H2184" s="64">
        <v>0.99680000000000002</v>
      </c>
      <c r="I2184" s="62">
        <v>10203116</v>
      </c>
      <c r="J2184" s="65">
        <v>0.99719999999999998</v>
      </c>
    </row>
    <row r="2185" spans="1:11">
      <c r="A2185" s="3" t="s">
        <v>11</v>
      </c>
      <c r="B2185" s="103">
        <v>49800</v>
      </c>
      <c r="C2185" s="57">
        <v>718</v>
      </c>
      <c r="D2185" s="61">
        <v>1.44E-2</v>
      </c>
      <c r="E2185" s="62">
        <v>50080</v>
      </c>
      <c r="F2185" s="63">
        <v>3.1099999999999999E-2</v>
      </c>
      <c r="G2185" s="62">
        <v>49082</v>
      </c>
      <c r="H2185" s="64">
        <v>0.98560000000000003</v>
      </c>
      <c r="I2185" s="62">
        <v>1560220</v>
      </c>
      <c r="J2185" s="65">
        <v>0.96889999999999998</v>
      </c>
      <c r="K2185" s="3" t="s">
        <v>10</v>
      </c>
    </row>
    <row r="2186" spans="1:11">
      <c r="A2186" s="3" t="s">
        <v>12</v>
      </c>
      <c r="B2186" s="103">
        <v>11334</v>
      </c>
      <c r="C2186" s="62">
        <v>2745</v>
      </c>
      <c r="D2186" s="61">
        <v>0.2422</v>
      </c>
      <c r="E2186" s="62">
        <v>2231492</v>
      </c>
      <c r="F2186" s="63">
        <v>0.41699999999999998</v>
      </c>
      <c r="G2186" s="62">
        <v>8589</v>
      </c>
      <c r="H2186" s="64">
        <v>0.75780000000000003</v>
      </c>
      <c r="I2186" s="62">
        <v>3119300</v>
      </c>
      <c r="J2186" s="65">
        <v>0.58299999999999996</v>
      </c>
      <c r="K2186" s="3" t="s">
        <v>11</v>
      </c>
    </row>
    <row r="2187" spans="1:11">
      <c r="A2187" s="3" t="s">
        <v>13</v>
      </c>
      <c r="B2187" s="103">
        <v>400</v>
      </c>
      <c r="C2187" s="57">
        <v>311</v>
      </c>
      <c r="D2187" s="61">
        <v>0.77749999999999997</v>
      </c>
      <c r="E2187" s="62">
        <v>7114496</v>
      </c>
      <c r="F2187" s="63">
        <v>0.93520000000000003</v>
      </c>
      <c r="G2187" s="57">
        <v>89</v>
      </c>
      <c r="H2187" s="64">
        <v>0.2225</v>
      </c>
      <c r="I2187" s="62">
        <v>493285</v>
      </c>
      <c r="J2187" s="65">
        <v>6.4799999999999996E-2</v>
      </c>
      <c r="K2187" s="3" t="s">
        <v>12</v>
      </c>
    </row>
    <row r="2188" spans="1:11" ht="15.75" thickBot="1">
      <c r="A2188" s="3" t="s">
        <v>181</v>
      </c>
      <c r="B2188" s="103">
        <v>440</v>
      </c>
      <c r="C2188" s="105">
        <v>33</v>
      </c>
      <c r="D2188" s="106">
        <v>7.4999999999999997E-2</v>
      </c>
      <c r="E2188" s="62">
        <v>29602</v>
      </c>
      <c r="F2188" s="66">
        <v>0.99980000000000002</v>
      </c>
      <c r="G2188" s="50">
        <v>407</v>
      </c>
      <c r="H2188" s="68">
        <v>0.92500000000000004</v>
      </c>
      <c r="I2188" s="62">
        <v>10792</v>
      </c>
      <c r="J2188" s="104">
        <v>0.26719999999999999</v>
      </c>
      <c r="K2188" s="3" t="s">
        <v>13</v>
      </c>
    </row>
    <row r="2189" spans="1:11" ht="17.25" thickTop="1" thickBot="1">
      <c r="A2189" s="34" t="s">
        <v>175</v>
      </c>
      <c r="B2189" s="84">
        <f>SUM(B2184:B2188)</f>
        <v>594981</v>
      </c>
      <c r="C2189" s="74">
        <f>SUM(C2184:C2188)</f>
        <v>5511</v>
      </c>
      <c r="D2189" s="107">
        <v>9.2999999999999992E-3</v>
      </c>
      <c r="E2189" s="74">
        <f>SUM(E2184:E2188)</f>
        <v>9454785</v>
      </c>
      <c r="F2189" s="73">
        <v>0.38080000000000003</v>
      </c>
      <c r="G2189" s="74">
        <f>SUM(G2184:G2188)</f>
        <v>589470</v>
      </c>
      <c r="H2189" s="75">
        <v>0.99070000000000003</v>
      </c>
      <c r="I2189" s="74">
        <f>SUM(I2184:I2188)</f>
        <v>15386713</v>
      </c>
      <c r="J2189" s="76">
        <v>0.61939999999999995</v>
      </c>
      <c r="K2189" s="3" t="s">
        <v>181</v>
      </c>
    </row>
    <row r="2190" spans="1:11" ht="17.25" thickTop="1" thickBot="1">
      <c r="A2190" s="1" t="s">
        <v>235</v>
      </c>
      <c r="B2190" s="97"/>
      <c r="C2190" s="164" t="s">
        <v>179</v>
      </c>
      <c r="D2190" s="166"/>
      <c r="E2190" s="166"/>
      <c r="F2190" s="167"/>
      <c r="G2190" s="168" t="s">
        <v>180</v>
      </c>
      <c r="H2190" s="166"/>
      <c r="I2190" s="166"/>
      <c r="J2190" s="167"/>
    </row>
    <row r="2191" spans="1:11" ht="15.75" thickTop="1">
      <c r="B2191" s="42" t="s">
        <v>4</v>
      </c>
      <c r="C2191" s="43" t="s">
        <v>5</v>
      </c>
      <c r="D2191" s="44"/>
      <c r="E2191" s="169" t="s">
        <v>6</v>
      </c>
      <c r="F2191" s="170"/>
      <c r="G2191" s="43" t="s">
        <v>7</v>
      </c>
      <c r="H2191" s="46"/>
      <c r="I2191" s="169" t="s">
        <v>6</v>
      </c>
      <c r="J2191" s="171"/>
    </row>
    <row r="2192" spans="1:11" ht="15.75" thickBot="1">
      <c r="B2192" s="49" t="s">
        <v>8</v>
      </c>
      <c r="C2192" s="50" t="s">
        <v>8</v>
      </c>
      <c r="D2192" s="51" t="s">
        <v>9</v>
      </c>
      <c r="E2192" s="50" t="s">
        <v>8</v>
      </c>
      <c r="F2192" s="52" t="s">
        <v>9</v>
      </c>
      <c r="G2192" s="53" t="s">
        <v>8</v>
      </c>
      <c r="H2192" s="54" t="s">
        <v>9</v>
      </c>
      <c r="I2192" s="53" t="s">
        <v>8</v>
      </c>
      <c r="J2192" s="55" t="s">
        <v>9</v>
      </c>
      <c r="K2192" s="22"/>
    </row>
    <row r="2193" spans="1:11" ht="16.5" thickTop="1">
      <c r="C2193" s="43"/>
      <c r="E2193" s="57"/>
      <c r="F2193" s="58"/>
      <c r="G2193" s="57"/>
      <c r="I2193" s="57"/>
      <c r="K2193" s="1" t="s">
        <v>125</v>
      </c>
    </row>
    <row r="2194" spans="1:11">
      <c r="A2194" s="3" t="s">
        <v>10</v>
      </c>
      <c r="B2194" s="103">
        <v>532852</v>
      </c>
      <c r="C2194" s="62">
        <v>2203</v>
      </c>
      <c r="D2194" s="61">
        <v>4.1000000000000003E-3</v>
      </c>
      <c r="E2194" s="62">
        <v>38214</v>
      </c>
      <c r="F2194" s="63">
        <v>3.5999999999999999E-3</v>
      </c>
      <c r="G2194" s="62">
        <v>530649</v>
      </c>
      <c r="H2194" s="64">
        <v>0.99590000000000001</v>
      </c>
      <c r="I2194" s="62">
        <v>10677893</v>
      </c>
      <c r="J2194" s="65">
        <v>0.99639999999999995</v>
      </c>
    </row>
    <row r="2195" spans="1:11">
      <c r="A2195" s="3" t="s">
        <v>11</v>
      </c>
      <c r="B2195" s="103">
        <v>49841</v>
      </c>
      <c r="C2195" s="57">
        <v>760</v>
      </c>
      <c r="D2195" s="61">
        <v>1.52E-2</v>
      </c>
      <c r="E2195" s="62">
        <v>55704</v>
      </c>
      <c r="F2195" s="63">
        <v>3.2199999999999999E-2</v>
      </c>
      <c r="G2195" s="62">
        <v>49081</v>
      </c>
      <c r="H2195" s="64">
        <v>0.98480000000000001</v>
      </c>
      <c r="I2195" s="62">
        <v>1675282</v>
      </c>
      <c r="J2195" s="65">
        <v>0.96779999999999999</v>
      </c>
    </row>
    <row r="2196" spans="1:11">
      <c r="A2196" s="3" t="s">
        <v>12</v>
      </c>
      <c r="B2196" s="103">
        <v>11333</v>
      </c>
      <c r="C2196" s="62">
        <v>2737</v>
      </c>
      <c r="D2196" s="61">
        <v>0.24149999999999999</v>
      </c>
      <c r="E2196" s="62">
        <v>2429924</v>
      </c>
      <c r="F2196" s="63">
        <v>0.41949999999999998</v>
      </c>
      <c r="G2196" s="62">
        <v>8596</v>
      </c>
      <c r="H2196" s="64">
        <v>0.75849999999999995</v>
      </c>
      <c r="I2196" s="62">
        <v>3362455</v>
      </c>
      <c r="J2196" s="65">
        <v>0.58050000000000002</v>
      </c>
    </row>
    <row r="2197" spans="1:11">
      <c r="A2197" s="3" t="s">
        <v>13</v>
      </c>
      <c r="B2197" s="103">
        <v>399</v>
      </c>
      <c r="C2197" s="57">
        <v>310</v>
      </c>
      <c r="D2197" s="61">
        <v>0.77690000000000003</v>
      </c>
      <c r="E2197" s="62">
        <v>7141623</v>
      </c>
      <c r="F2197" s="63">
        <v>0.93389999999999995</v>
      </c>
      <c r="G2197" s="57">
        <v>89</v>
      </c>
      <c r="H2197" s="64">
        <v>0.22309999999999999</v>
      </c>
      <c r="I2197" s="62">
        <v>505677</v>
      </c>
      <c r="J2197" s="65">
        <v>6.6100000000000006E-2</v>
      </c>
      <c r="K2197" s="3" t="s">
        <v>10</v>
      </c>
    </row>
    <row r="2198" spans="1:11" ht="15.75" thickBot="1">
      <c r="A2198" s="3" t="s">
        <v>181</v>
      </c>
      <c r="B2198" s="103">
        <v>440</v>
      </c>
      <c r="C2198" s="105">
        <v>32</v>
      </c>
      <c r="D2198" s="106">
        <v>7.2700000000000001E-2</v>
      </c>
      <c r="E2198" s="62">
        <v>42049</v>
      </c>
      <c r="F2198" s="66">
        <v>0.73270000000000002</v>
      </c>
      <c r="G2198" s="50">
        <v>408</v>
      </c>
      <c r="H2198" s="68">
        <v>0.92730000000000001</v>
      </c>
      <c r="I2198" s="62">
        <v>15342</v>
      </c>
      <c r="J2198" s="104">
        <v>0.26729999999999998</v>
      </c>
      <c r="K2198" s="3" t="s">
        <v>11</v>
      </c>
    </row>
    <row r="2199" spans="1:11" ht="17.25" thickTop="1" thickBot="1">
      <c r="A2199" s="34" t="s">
        <v>175</v>
      </c>
      <c r="B2199" s="84">
        <f>SUM(B2194:B2198)</f>
        <v>594865</v>
      </c>
      <c r="C2199" s="74">
        <f>SUM(C2194:C2198)</f>
        <v>6042</v>
      </c>
      <c r="D2199" s="107">
        <v>1.0200000000000001E-2</v>
      </c>
      <c r="E2199" s="74">
        <f>SUM(E2194:E2198)</f>
        <v>9707514</v>
      </c>
      <c r="F2199" s="73">
        <v>0.37419999999999998</v>
      </c>
      <c r="G2199" s="74">
        <f>SUM(G2194:G2198)</f>
        <v>588823</v>
      </c>
      <c r="H2199" s="75">
        <v>0.98980000000000001</v>
      </c>
      <c r="I2199" s="74">
        <f>SUM(I2194:I2198)</f>
        <v>16236649</v>
      </c>
      <c r="J2199" s="76">
        <v>0.62580000000000002</v>
      </c>
      <c r="K2199" s="3" t="s">
        <v>12</v>
      </c>
    </row>
    <row r="2200" spans="1:11" ht="17.25" thickTop="1" thickBot="1">
      <c r="A2200" s="1" t="s">
        <v>236</v>
      </c>
      <c r="B2200" s="97"/>
      <c r="C2200" s="164" t="s">
        <v>179</v>
      </c>
      <c r="D2200" s="166"/>
      <c r="E2200" s="166"/>
      <c r="F2200" s="167"/>
      <c r="G2200" s="168" t="s">
        <v>180</v>
      </c>
      <c r="H2200" s="166"/>
      <c r="I2200" s="166"/>
      <c r="J2200" s="167"/>
      <c r="K2200" s="3" t="s">
        <v>13</v>
      </c>
    </row>
    <row r="2201" spans="1:11" ht="15.75" thickTop="1">
      <c r="B2201" s="42" t="s">
        <v>4</v>
      </c>
      <c r="C2201" s="43" t="s">
        <v>5</v>
      </c>
      <c r="D2201" s="44"/>
      <c r="E2201" s="169" t="s">
        <v>6</v>
      </c>
      <c r="F2201" s="170"/>
      <c r="G2201" s="43" t="s">
        <v>7</v>
      </c>
      <c r="H2201" s="46"/>
      <c r="I2201" s="169" t="s">
        <v>6</v>
      </c>
      <c r="J2201" s="171"/>
      <c r="K2201" s="3" t="s">
        <v>181</v>
      </c>
    </row>
    <row r="2202" spans="1:11" ht="15.75" thickBot="1">
      <c r="B2202" s="49" t="s">
        <v>8</v>
      </c>
      <c r="C2202" s="50" t="s">
        <v>8</v>
      </c>
      <c r="D2202" s="51" t="s">
        <v>9</v>
      </c>
      <c r="E2202" s="50" t="s">
        <v>8</v>
      </c>
      <c r="F2202" s="52" t="s">
        <v>9</v>
      </c>
      <c r="G2202" s="53" t="s">
        <v>8</v>
      </c>
      <c r="H2202" s="54" t="s">
        <v>9</v>
      </c>
      <c r="I2202" s="53" t="s">
        <v>8</v>
      </c>
      <c r="J2202" s="55" t="s">
        <v>9</v>
      </c>
    </row>
    <row r="2203" spans="1:11" ht="15.75" thickTop="1">
      <c r="C2203" s="43"/>
      <c r="E2203" s="57"/>
      <c r="F2203" s="58"/>
      <c r="G2203" s="57"/>
      <c r="I2203" s="57"/>
    </row>
    <row r="2204" spans="1:11">
      <c r="A2204" s="3" t="s">
        <v>10</v>
      </c>
      <c r="B2204" s="103">
        <v>532520</v>
      </c>
      <c r="C2204" s="62">
        <v>2191</v>
      </c>
      <c r="D2204" s="61">
        <v>4.1000000000000003E-3</v>
      </c>
      <c r="E2204" s="62">
        <v>42286</v>
      </c>
      <c r="F2204" s="63">
        <v>3.5999999999999999E-3</v>
      </c>
      <c r="G2204" s="62">
        <v>530329</v>
      </c>
      <c r="H2204" s="64">
        <v>0.99590000000000001</v>
      </c>
      <c r="I2204" s="62">
        <v>11678057</v>
      </c>
      <c r="J2204" s="65">
        <v>0.99639999999999995</v>
      </c>
      <c r="K2204" s="22"/>
    </row>
    <row r="2205" spans="1:11" ht="15.75">
      <c r="A2205" s="3" t="s">
        <v>11</v>
      </c>
      <c r="B2205" s="103">
        <v>49800</v>
      </c>
      <c r="C2205" s="57">
        <v>760</v>
      </c>
      <c r="D2205" s="61">
        <v>1.5299999999999999E-2</v>
      </c>
      <c r="E2205" s="62">
        <v>54101</v>
      </c>
      <c r="F2205" s="63">
        <v>3.2300000000000002E-2</v>
      </c>
      <c r="G2205" s="62">
        <v>49040</v>
      </c>
      <c r="H2205" s="64">
        <v>0.98470000000000002</v>
      </c>
      <c r="I2205" s="62">
        <v>1621768</v>
      </c>
      <c r="J2205" s="65">
        <v>0.9677</v>
      </c>
      <c r="K2205" s="1" t="s">
        <v>125</v>
      </c>
    </row>
    <row r="2206" spans="1:11">
      <c r="A2206" s="3" t="s">
        <v>12</v>
      </c>
      <c r="B2206" s="103">
        <v>11300</v>
      </c>
      <c r="C2206" s="62">
        <v>2752</v>
      </c>
      <c r="D2206" s="61">
        <v>0.24349999999999999</v>
      </c>
      <c r="E2206" s="62">
        <v>2249684</v>
      </c>
      <c r="F2206" s="63">
        <v>0.42170000000000002</v>
      </c>
      <c r="G2206" s="62">
        <v>8548</v>
      </c>
      <c r="H2206" s="64">
        <v>0.76559999999999995</v>
      </c>
      <c r="I2206" s="62">
        <v>3084641</v>
      </c>
      <c r="J2206" s="65">
        <v>0.57830000000000004</v>
      </c>
    </row>
    <row r="2207" spans="1:11">
      <c r="A2207" s="3" t="s">
        <v>13</v>
      </c>
      <c r="B2207" s="103">
        <v>402</v>
      </c>
      <c r="C2207" s="57">
        <v>318</v>
      </c>
      <c r="D2207" s="61">
        <v>0.79100000000000004</v>
      </c>
      <c r="E2207" s="62">
        <v>7211052</v>
      </c>
      <c r="F2207" s="63">
        <v>0.94199999999999995</v>
      </c>
      <c r="G2207" s="57">
        <v>84</v>
      </c>
      <c r="H2207" s="64">
        <v>0.20899999999999999</v>
      </c>
      <c r="I2207" s="62">
        <v>444008</v>
      </c>
      <c r="J2207" s="65">
        <v>5.8000000000000003E-2</v>
      </c>
    </row>
    <row r="2208" spans="1:11" ht="15.75" thickBot="1">
      <c r="A2208" s="3" t="s">
        <v>181</v>
      </c>
      <c r="B2208" s="103">
        <v>436</v>
      </c>
      <c r="C2208" s="105">
        <v>32</v>
      </c>
      <c r="D2208" s="106">
        <v>7.3400000000000007E-2</v>
      </c>
      <c r="E2208" s="62">
        <v>39607</v>
      </c>
      <c r="F2208" s="66">
        <v>0.73319999999999996</v>
      </c>
      <c r="G2208" s="50">
        <v>404</v>
      </c>
      <c r="H2208" s="68">
        <v>0.92659999999999998</v>
      </c>
      <c r="I2208" s="62">
        <v>14416</v>
      </c>
      <c r="J2208" s="104">
        <v>0.26679999999999998</v>
      </c>
    </row>
    <row r="2209" spans="1:11" ht="17.25" thickTop="1" thickBot="1">
      <c r="A2209" s="34" t="s">
        <v>175</v>
      </c>
      <c r="B2209" s="84">
        <f>SUM(B2204:B2208)</f>
        <v>594458</v>
      </c>
      <c r="C2209" s="74">
        <f>SUM(C2204:C2208)</f>
        <v>6053</v>
      </c>
      <c r="D2209" s="107">
        <v>1.0200000000000001E-2</v>
      </c>
      <c r="E2209" s="74">
        <f>SUM(E2204:E2208)</f>
        <v>9596730</v>
      </c>
      <c r="F2209" s="73">
        <v>0.36299999999999999</v>
      </c>
      <c r="G2209" s="74">
        <f>SUM(G2204:G2208)</f>
        <v>588405</v>
      </c>
      <c r="H2209" s="75">
        <v>0.98980000000000001</v>
      </c>
      <c r="I2209" s="74">
        <f>SUM(I2204:I2208)</f>
        <v>16842890</v>
      </c>
      <c r="J2209" s="76">
        <v>0.63700000000000001</v>
      </c>
      <c r="K2209" s="3" t="s">
        <v>10</v>
      </c>
    </row>
    <row r="2210" spans="1:11" ht="17.25" thickTop="1" thickBot="1">
      <c r="A2210" s="1" t="s">
        <v>237</v>
      </c>
      <c r="B2210" s="97"/>
      <c r="C2210" s="164" t="s">
        <v>179</v>
      </c>
      <c r="D2210" s="166"/>
      <c r="E2210" s="166"/>
      <c r="F2210" s="167"/>
      <c r="G2210" s="168" t="s">
        <v>180</v>
      </c>
      <c r="H2210" s="166"/>
      <c r="I2210" s="166"/>
      <c r="J2210" s="167"/>
      <c r="K2210" s="3" t="s">
        <v>11</v>
      </c>
    </row>
    <row r="2211" spans="1:11" ht="15.75" thickTop="1">
      <c r="B2211" s="42" t="s">
        <v>4</v>
      </c>
      <c r="C2211" s="43" t="s">
        <v>5</v>
      </c>
      <c r="D2211" s="44"/>
      <c r="E2211" s="169" t="s">
        <v>6</v>
      </c>
      <c r="F2211" s="170"/>
      <c r="G2211" s="43" t="s">
        <v>7</v>
      </c>
      <c r="H2211" s="46"/>
      <c r="I2211" s="169" t="s">
        <v>6</v>
      </c>
      <c r="J2211" s="171"/>
      <c r="K2211" s="3" t="s">
        <v>12</v>
      </c>
    </row>
    <row r="2212" spans="1:11" ht="15.75" thickBot="1">
      <c r="B2212" s="49" t="s">
        <v>8</v>
      </c>
      <c r="C2212" s="50" t="s">
        <v>8</v>
      </c>
      <c r="D2212" s="51" t="s">
        <v>9</v>
      </c>
      <c r="E2212" s="50" t="s">
        <v>8</v>
      </c>
      <c r="F2212" s="52" t="s">
        <v>9</v>
      </c>
      <c r="G2212" s="53" t="s">
        <v>8</v>
      </c>
      <c r="H2212" s="54" t="s">
        <v>9</v>
      </c>
      <c r="I2212" s="53" t="s">
        <v>8</v>
      </c>
      <c r="J2212" s="55" t="s">
        <v>9</v>
      </c>
      <c r="K2212" s="3" t="s">
        <v>13</v>
      </c>
    </row>
    <row r="2213" spans="1:11" ht="15.75" thickTop="1">
      <c r="C2213" s="43"/>
      <c r="E2213" s="57"/>
      <c r="F2213" s="58"/>
      <c r="G2213" s="57"/>
      <c r="I2213" s="57"/>
      <c r="K2213" s="3" t="s">
        <v>181</v>
      </c>
    </row>
    <row r="2214" spans="1:11">
      <c r="A2214" s="3" t="s">
        <v>10</v>
      </c>
      <c r="B2214" s="103">
        <v>532173</v>
      </c>
      <c r="C2214" s="62">
        <v>2174</v>
      </c>
      <c r="D2214" s="61">
        <v>4.1000000000000003E-3</v>
      </c>
      <c r="E2214" s="62">
        <v>38806</v>
      </c>
      <c r="F2214" s="63">
        <v>3.5000000000000001E-3</v>
      </c>
      <c r="G2214" s="62">
        <v>529999</v>
      </c>
      <c r="H2214" s="64">
        <v>0.99590000000000001</v>
      </c>
      <c r="I2214" s="62">
        <v>11143816</v>
      </c>
      <c r="J2214" s="65">
        <v>0.99650000000000005</v>
      </c>
    </row>
    <row r="2215" spans="1:11">
      <c r="A2215" s="3" t="s">
        <v>11</v>
      </c>
      <c r="B2215" s="103">
        <v>49799</v>
      </c>
      <c r="C2215" s="57">
        <v>753</v>
      </c>
      <c r="D2215" s="61">
        <v>1.5100000000000001E-2</v>
      </c>
      <c r="E2215" s="62">
        <v>52457</v>
      </c>
      <c r="F2215" s="63">
        <v>3.1300000000000001E-2</v>
      </c>
      <c r="G2215" s="62">
        <v>49046</v>
      </c>
      <c r="H2215" s="64">
        <v>0.9849</v>
      </c>
      <c r="I2215" s="62">
        <v>1622599</v>
      </c>
      <c r="J2215" s="65">
        <v>0.96870000000000001</v>
      </c>
    </row>
    <row r="2216" spans="1:11">
      <c r="A2216" s="3" t="s">
        <v>12</v>
      </c>
      <c r="B2216" s="103">
        <v>11315</v>
      </c>
      <c r="C2216" s="62">
        <v>2740</v>
      </c>
      <c r="D2216" s="61">
        <v>0.2422</v>
      </c>
      <c r="E2216" s="62">
        <v>2326959</v>
      </c>
      <c r="F2216" s="63">
        <v>0.42159999999999997</v>
      </c>
      <c r="G2216" s="62">
        <v>8575</v>
      </c>
      <c r="H2216" s="64">
        <v>0.75780000000000003</v>
      </c>
      <c r="I2216" s="62">
        <v>3192044</v>
      </c>
      <c r="J2216" s="65">
        <v>0.57840000000000003</v>
      </c>
      <c r="K2216" s="22"/>
    </row>
    <row r="2217" spans="1:11" ht="21" customHeight="1">
      <c r="A2217" s="3" t="s">
        <v>13</v>
      </c>
      <c r="B2217" s="103">
        <v>403</v>
      </c>
      <c r="C2217" s="57">
        <v>318</v>
      </c>
      <c r="D2217" s="61">
        <v>0.78910000000000002</v>
      </c>
      <c r="E2217" s="62">
        <v>6128247</v>
      </c>
      <c r="F2217" s="63">
        <v>0.93610000000000004</v>
      </c>
      <c r="G2217" s="57">
        <v>85</v>
      </c>
      <c r="H2217" s="64">
        <v>0.2109</v>
      </c>
      <c r="I2217" s="62">
        <v>418201</v>
      </c>
      <c r="J2217" s="65">
        <v>6.3899999999999998E-2</v>
      </c>
      <c r="K2217" s="1" t="s">
        <v>125</v>
      </c>
    </row>
    <row r="2218" spans="1:11" ht="15.75" thickBot="1">
      <c r="A2218" s="3" t="s">
        <v>181</v>
      </c>
      <c r="B2218" s="103">
        <v>436</v>
      </c>
      <c r="C2218" s="105">
        <v>32</v>
      </c>
      <c r="D2218" s="106">
        <v>7.3400000000000007E-2</v>
      </c>
      <c r="E2218" s="62">
        <v>38920</v>
      </c>
      <c r="F2218" s="66">
        <v>0.73150000000000004</v>
      </c>
      <c r="G2218" s="50">
        <v>404</v>
      </c>
      <c r="H2218" s="68">
        <v>0.92659999999999998</v>
      </c>
      <c r="I2218" s="62">
        <v>14287</v>
      </c>
      <c r="J2218" s="104">
        <v>0.26850000000000002</v>
      </c>
    </row>
    <row r="2219" spans="1:11" ht="17.25" thickTop="1" thickBot="1">
      <c r="A2219" s="34" t="s">
        <v>175</v>
      </c>
      <c r="B2219" s="84">
        <f>SUM(B2214:B2218)</f>
        <v>594126</v>
      </c>
      <c r="C2219" s="74">
        <f>SUM(C2214:C2218)</f>
        <v>6017</v>
      </c>
      <c r="D2219" s="107">
        <v>1.01E-2</v>
      </c>
      <c r="E2219" s="74">
        <f>SUM(E2214:E2218)</f>
        <v>8585389</v>
      </c>
      <c r="F2219" s="73">
        <v>0.34470000000000001</v>
      </c>
      <c r="G2219" s="74">
        <f>SUM(G2214:G2218)</f>
        <v>588109</v>
      </c>
      <c r="H2219" s="75">
        <v>0.9899</v>
      </c>
      <c r="I2219" s="74">
        <f>SUM(I2214:I2218)</f>
        <v>16390947</v>
      </c>
      <c r="J2219" s="76">
        <v>0.65629999999999999</v>
      </c>
    </row>
    <row r="2220" spans="1:11" ht="17.25" thickTop="1" thickBot="1">
      <c r="A2220" s="1" t="s">
        <v>238</v>
      </c>
      <c r="B2220" s="97"/>
      <c r="C2220" s="164" t="s">
        <v>179</v>
      </c>
      <c r="D2220" s="166"/>
      <c r="E2220" s="166"/>
      <c r="F2220" s="167"/>
      <c r="G2220" s="168" t="s">
        <v>180</v>
      </c>
      <c r="H2220" s="166"/>
      <c r="I2220" s="166"/>
      <c r="J2220" s="167"/>
    </row>
    <row r="2221" spans="1:11" ht="15.75" thickTop="1">
      <c r="B2221" s="42" t="s">
        <v>4</v>
      </c>
      <c r="C2221" s="43" t="s">
        <v>5</v>
      </c>
      <c r="D2221" s="44"/>
      <c r="E2221" s="169" t="s">
        <v>6</v>
      </c>
      <c r="F2221" s="170"/>
      <c r="G2221" s="43" t="s">
        <v>7</v>
      </c>
      <c r="H2221" s="46"/>
      <c r="I2221" s="169" t="s">
        <v>6</v>
      </c>
      <c r="J2221" s="171"/>
      <c r="K2221" s="3" t="s">
        <v>10</v>
      </c>
    </row>
    <row r="2222" spans="1:11" ht="15.75" thickBot="1">
      <c r="B2222" s="49" t="s">
        <v>8</v>
      </c>
      <c r="C2222" s="50" t="s">
        <v>8</v>
      </c>
      <c r="D2222" s="51" t="s">
        <v>9</v>
      </c>
      <c r="E2222" s="50" t="s">
        <v>8</v>
      </c>
      <c r="F2222" s="52" t="s">
        <v>9</v>
      </c>
      <c r="G2222" s="53" t="s">
        <v>8</v>
      </c>
      <c r="H2222" s="54" t="s">
        <v>9</v>
      </c>
      <c r="I2222" s="53" t="s">
        <v>8</v>
      </c>
      <c r="J2222" s="55" t="s">
        <v>9</v>
      </c>
      <c r="K2222" s="3" t="s">
        <v>11</v>
      </c>
    </row>
    <row r="2223" spans="1:11" ht="15.75" thickTop="1">
      <c r="C2223" s="43"/>
      <c r="E2223" s="57"/>
      <c r="F2223" s="58"/>
      <c r="G2223" s="57"/>
      <c r="I2223" s="57"/>
      <c r="K2223" s="3" t="s">
        <v>12</v>
      </c>
    </row>
    <row r="2224" spans="1:11">
      <c r="A2224" s="3" t="s">
        <v>10</v>
      </c>
      <c r="B2224" s="103">
        <v>531592</v>
      </c>
      <c r="C2224" s="62">
        <v>2157</v>
      </c>
      <c r="D2224" s="61">
        <v>4.1000000000000003E-3</v>
      </c>
      <c r="E2224" s="62">
        <v>36306</v>
      </c>
      <c r="F2224" s="63">
        <v>3.5000000000000001E-3</v>
      </c>
      <c r="G2224" s="62">
        <v>529435</v>
      </c>
      <c r="H2224" s="64">
        <v>0.99590000000000001</v>
      </c>
      <c r="I2224" s="62">
        <v>10314640</v>
      </c>
      <c r="J2224" s="65">
        <v>0.99650000000000005</v>
      </c>
      <c r="K2224" s="3" t="s">
        <v>13</v>
      </c>
    </row>
    <row r="2225" spans="1:11">
      <c r="A2225" s="3" t="s">
        <v>11</v>
      </c>
      <c r="B2225" s="103">
        <v>49769</v>
      </c>
      <c r="C2225" s="57">
        <v>763</v>
      </c>
      <c r="D2225" s="61">
        <v>1.5299999999999999E-2</v>
      </c>
      <c r="E2225" s="62">
        <v>51280</v>
      </c>
      <c r="F2225" s="63">
        <v>3.27E-2</v>
      </c>
      <c r="G2225" s="62">
        <v>49006</v>
      </c>
      <c r="H2225" s="64">
        <v>0.98470000000000002</v>
      </c>
      <c r="I2225" s="62">
        <v>1518337</v>
      </c>
      <c r="J2225" s="65">
        <v>0.96730000000000005</v>
      </c>
      <c r="K2225" s="3" t="s">
        <v>181</v>
      </c>
    </row>
    <row r="2226" spans="1:11" ht="15.75">
      <c r="A2226" s="3" t="s">
        <v>12</v>
      </c>
      <c r="B2226" s="103">
        <v>11369</v>
      </c>
      <c r="C2226" s="62">
        <v>2800</v>
      </c>
      <c r="D2226" s="61">
        <v>0.24629999999999999</v>
      </c>
      <c r="E2226" s="62">
        <v>2424324</v>
      </c>
      <c r="F2226" s="63">
        <v>0.42149999999999999</v>
      </c>
      <c r="G2226" s="62">
        <v>8569</v>
      </c>
      <c r="H2226" s="64">
        <v>0.75370000000000004</v>
      </c>
      <c r="I2226" s="62">
        <v>3326908</v>
      </c>
      <c r="J2226" s="65">
        <v>0.57850000000000001</v>
      </c>
      <c r="K2226" s="34" t="s">
        <v>175</v>
      </c>
    </row>
    <row r="2227" spans="1:11">
      <c r="A2227" s="3" t="s">
        <v>13</v>
      </c>
      <c r="B2227" s="103">
        <v>410</v>
      </c>
      <c r="C2227" s="57">
        <v>330</v>
      </c>
      <c r="D2227" s="61">
        <v>0.80489999999999995</v>
      </c>
      <c r="E2227" s="62">
        <v>7812046</v>
      </c>
      <c r="F2227" s="63">
        <v>0.94769999999999999</v>
      </c>
      <c r="G2227" s="57">
        <v>80</v>
      </c>
      <c r="H2227" s="64">
        <v>0.1951</v>
      </c>
      <c r="I2227" s="62">
        <v>430996</v>
      </c>
      <c r="J2227" s="65">
        <v>5.2299999999999999E-2</v>
      </c>
    </row>
    <row r="2228" spans="1:11" ht="21" customHeight="1" thickBot="1">
      <c r="A2228" s="3" t="s">
        <v>181</v>
      </c>
      <c r="B2228" s="103">
        <v>436</v>
      </c>
      <c r="C2228" s="105">
        <v>32</v>
      </c>
      <c r="D2228" s="106">
        <v>7.3499999999999996E-2</v>
      </c>
      <c r="E2228" s="62">
        <v>35499</v>
      </c>
      <c r="F2228" s="66">
        <v>0.65559999999999996</v>
      </c>
      <c r="G2228" s="50">
        <v>404</v>
      </c>
      <c r="H2228" s="68">
        <v>0.92659999999999998</v>
      </c>
      <c r="I2228" s="62">
        <v>18647</v>
      </c>
      <c r="J2228" s="104">
        <v>0.34439999999999998</v>
      </c>
    </row>
    <row r="2229" spans="1:11" ht="17.25" thickTop="1" thickBot="1">
      <c r="A2229" s="34" t="s">
        <v>175</v>
      </c>
      <c r="B2229" s="84">
        <f>SUM(B2224:B2228)</f>
        <v>593576</v>
      </c>
      <c r="C2229" s="74">
        <f>SUM(C2224:C2228)</f>
        <v>6082</v>
      </c>
      <c r="D2229" s="107">
        <v>1.0200000000000001E-2</v>
      </c>
      <c r="E2229" s="74">
        <f>SUM(E2224:E2228)</f>
        <v>10359455</v>
      </c>
      <c r="F2229" s="73">
        <v>0.39889999999999998</v>
      </c>
      <c r="G2229" s="74">
        <f>SUM(G2224:G2228)</f>
        <v>587494</v>
      </c>
      <c r="H2229" s="75">
        <v>0.98980000000000001</v>
      </c>
      <c r="I2229" s="74">
        <f>SUM(I2224:I2228)</f>
        <v>15609528</v>
      </c>
      <c r="J2229" s="76">
        <v>0.60109999999999997</v>
      </c>
    </row>
    <row r="2230" spans="1:11" ht="17.25" thickTop="1" thickBot="1">
      <c r="A2230" s="1" t="s">
        <v>239</v>
      </c>
      <c r="B2230" s="97"/>
      <c r="C2230" s="164" t="s">
        <v>179</v>
      </c>
      <c r="D2230" s="166"/>
      <c r="E2230" s="166"/>
      <c r="F2230" s="167"/>
      <c r="G2230" s="168" t="s">
        <v>180</v>
      </c>
      <c r="H2230" s="166"/>
      <c r="I2230" s="166"/>
      <c r="J2230" s="167"/>
    </row>
    <row r="2231" spans="1:11" ht="15.75" thickTop="1">
      <c r="B2231" s="42" t="s">
        <v>4</v>
      </c>
      <c r="C2231" s="43" t="s">
        <v>5</v>
      </c>
      <c r="D2231" s="44"/>
      <c r="E2231" s="169" t="s">
        <v>6</v>
      </c>
      <c r="F2231" s="170"/>
      <c r="G2231" s="43" t="s">
        <v>7</v>
      </c>
      <c r="H2231" s="46"/>
      <c r="I2231" s="169" t="s">
        <v>6</v>
      </c>
      <c r="J2231" s="171"/>
    </row>
    <row r="2232" spans="1:11" ht="15.75" thickBot="1">
      <c r="B2232" s="49" t="s">
        <v>8</v>
      </c>
      <c r="C2232" s="50" t="s">
        <v>8</v>
      </c>
      <c r="D2232" s="51" t="s">
        <v>9</v>
      </c>
      <c r="E2232" s="50" t="s">
        <v>8</v>
      </c>
      <c r="F2232" s="52" t="s">
        <v>9</v>
      </c>
      <c r="G2232" s="53" t="s">
        <v>8</v>
      </c>
      <c r="H2232" s="54" t="s">
        <v>9</v>
      </c>
      <c r="I2232" s="53" t="s">
        <v>8</v>
      </c>
      <c r="J2232" s="55" t="s">
        <v>9</v>
      </c>
    </row>
    <row r="2233" spans="1:11" ht="15.75" thickTop="1">
      <c r="C2233" s="43"/>
      <c r="E2233" s="57"/>
      <c r="F2233" s="58"/>
      <c r="G2233" s="57"/>
      <c r="I2233" s="57"/>
    </row>
    <row r="2234" spans="1:11">
      <c r="A2234" s="3" t="s">
        <v>10</v>
      </c>
      <c r="B2234" s="103">
        <v>530564</v>
      </c>
      <c r="C2234" s="62">
        <v>2144</v>
      </c>
      <c r="D2234" s="61">
        <v>4.0000000000000001E-3</v>
      </c>
      <c r="E2234" s="62">
        <v>30668</v>
      </c>
      <c r="F2234" s="63">
        <v>3.5000000000000001E-3</v>
      </c>
      <c r="G2234" s="62">
        <v>528420</v>
      </c>
      <c r="H2234" s="64">
        <v>0.996</v>
      </c>
      <c r="I2234" s="62">
        <v>8800101</v>
      </c>
      <c r="J2234" s="65">
        <v>0.99650000000000005</v>
      </c>
    </row>
    <row r="2235" spans="1:11">
      <c r="A2235" s="3" t="s">
        <v>11</v>
      </c>
      <c r="B2235" s="103">
        <v>49689</v>
      </c>
      <c r="C2235" s="57">
        <v>760</v>
      </c>
      <c r="D2235" s="61">
        <v>1.5299999999999999E-2</v>
      </c>
      <c r="E2235" s="62">
        <v>45889</v>
      </c>
      <c r="F2235" s="63">
        <v>3.2000000000000001E-2</v>
      </c>
      <c r="G2235" s="62">
        <v>48929</v>
      </c>
      <c r="H2235" s="64">
        <v>0.98470000000000002</v>
      </c>
      <c r="I2235" s="62">
        <v>1388554</v>
      </c>
      <c r="J2235" s="65">
        <v>0.96799999999999997</v>
      </c>
    </row>
    <row r="2236" spans="1:11">
      <c r="A2236" s="3" t="s">
        <v>12</v>
      </c>
      <c r="B2236" s="103">
        <v>11355</v>
      </c>
      <c r="C2236" s="62">
        <v>2813</v>
      </c>
      <c r="D2236" s="61">
        <v>0.2477</v>
      </c>
      <c r="E2236" s="62">
        <v>2185134</v>
      </c>
      <c r="F2236" s="63">
        <v>0.40939999999999999</v>
      </c>
      <c r="G2236" s="62">
        <v>8542</v>
      </c>
      <c r="H2236" s="64">
        <v>0.75229999999999997</v>
      </c>
      <c r="I2236" s="62">
        <v>3152493</v>
      </c>
      <c r="J2236" s="65">
        <v>0.59060000000000001</v>
      </c>
    </row>
    <row r="2237" spans="1:11">
      <c r="A2237" s="3" t="s">
        <v>13</v>
      </c>
      <c r="B2237" s="103">
        <v>414</v>
      </c>
      <c r="C2237" s="57">
        <v>332</v>
      </c>
      <c r="D2237" s="61">
        <v>0.80189999999999995</v>
      </c>
      <c r="E2237" s="62">
        <v>8003580</v>
      </c>
      <c r="F2237" s="63">
        <v>0.95050000000000001</v>
      </c>
      <c r="G2237" s="57">
        <v>82</v>
      </c>
      <c r="H2237" s="64">
        <v>0.1981</v>
      </c>
      <c r="I2237" s="62">
        <v>416675</v>
      </c>
      <c r="J2237" s="65">
        <v>4.9500000000000002E-2</v>
      </c>
    </row>
    <row r="2238" spans="1:11" ht="15.75" thickBot="1">
      <c r="A2238" s="3" t="s">
        <v>181</v>
      </c>
      <c r="B2238" s="103">
        <v>434</v>
      </c>
      <c r="C2238" s="105">
        <v>22</v>
      </c>
      <c r="D2238" s="106">
        <v>5.0700000000000002E-2</v>
      </c>
      <c r="E2238" s="62">
        <v>26474</v>
      </c>
      <c r="F2238" s="66">
        <v>0.64780000000000004</v>
      </c>
      <c r="G2238" s="50">
        <v>412</v>
      </c>
      <c r="H2238" s="68">
        <v>0.94930000000000003</v>
      </c>
      <c r="I2238" s="62">
        <v>14394</v>
      </c>
      <c r="J2238" s="104">
        <v>0.35220000000000001</v>
      </c>
    </row>
    <row r="2239" spans="1:11" ht="21" customHeight="1" thickTop="1" thickBot="1">
      <c r="A2239" s="34" t="s">
        <v>175</v>
      </c>
      <c r="B2239" s="84">
        <f>SUM(B2234:B2238)</f>
        <v>592456</v>
      </c>
      <c r="C2239" s="74">
        <f>SUM(C2234:C2238)</f>
        <v>6071</v>
      </c>
      <c r="D2239" s="107">
        <v>1.0200000000000001E-2</v>
      </c>
      <c r="E2239" s="74">
        <f>SUM(E2234:E2238)</f>
        <v>10291745</v>
      </c>
      <c r="F2239" s="73">
        <v>0.42770000000000002</v>
      </c>
      <c r="G2239" s="74">
        <f>SUM(G2234:G2238)</f>
        <v>586385</v>
      </c>
      <c r="H2239" s="75">
        <v>0.98980000000000001</v>
      </c>
      <c r="I2239" s="74">
        <f>SUM(I2234:I2238)</f>
        <v>13772217</v>
      </c>
      <c r="J2239" s="76">
        <v>0.57230000000000003</v>
      </c>
    </row>
    <row r="2240" spans="1:11" ht="17.25" thickTop="1" thickBot="1">
      <c r="A2240" s="1" t="s">
        <v>240</v>
      </c>
      <c r="B2240" s="97"/>
      <c r="C2240" s="164" t="s">
        <v>179</v>
      </c>
      <c r="D2240" s="166"/>
      <c r="E2240" s="166"/>
      <c r="F2240" s="167"/>
      <c r="G2240" s="168" t="s">
        <v>180</v>
      </c>
      <c r="H2240" s="166"/>
      <c r="I2240" s="166"/>
      <c r="J2240" s="167"/>
    </row>
    <row r="2241" spans="1:10" ht="15.75" thickTop="1">
      <c r="B2241" s="42" t="s">
        <v>4</v>
      </c>
      <c r="C2241" s="43" t="s">
        <v>5</v>
      </c>
      <c r="D2241" s="44"/>
      <c r="E2241" s="169" t="s">
        <v>6</v>
      </c>
      <c r="F2241" s="170"/>
      <c r="G2241" s="43" t="s">
        <v>7</v>
      </c>
      <c r="H2241" s="46"/>
      <c r="I2241" s="169" t="s">
        <v>6</v>
      </c>
      <c r="J2241" s="171"/>
    </row>
    <row r="2242" spans="1:10" ht="15.75" thickBot="1">
      <c r="B2242" s="49" t="s">
        <v>8</v>
      </c>
      <c r="C2242" s="50" t="s">
        <v>8</v>
      </c>
      <c r="D2242" s="51" t="s">
        <v>9</v>
      </c>
      <c r="E2242" s="50" t="s">
        <v>8</v>
      </c>
      <c r="F2242" s="52" t="s">
        <v>9</v>
      </c>
      <c r="G2242" s="53" t="s">
        <v>8</v>
      </c>
      <c r="H2242" s="54" t="s">
        <v>9</v>
      </c>
      <c r="I2242" s="53" t="s">
        <v>8</v>
      </c>
      <c r="J2242" s="55" t="s">
        <v>9</v>
      </c>
    </row>
    <row r="2243" spans="1:10" ht="15.75" thickTop="1">
      <c r="C2243" s="43"/>
      <c r="E2243" s="57"/>
      <c r="F2243" s="58"/>
      <c r="G2243" s="57"/>
      <c r="I2243" s="57"/>
    </row>
    <row r="2244" spans="1:10">
      <c r="A2244" s="3" t="s">
        <v>10</v>
      </c>
      <c r="B2244" s="103">
        <v>530199</v>
      </c>
      <c r="C2244" s="62">
        <v>2151</v>
      </c>
      <c r="D2244" s="61">
        <v>4.1000000000000003E-3</v>
      </c>
      <c r="E2244" s="62">
        <v>30307</v>
      </c>
      <c r="F2244" s="63">
        <v>3.3E-3</v>
      </c>
      <c r="G2244" s="62">
        <v>528048</v>
      </c>
      <c r="H2244" s="64">
        <v>0.99590000000000001</v>
      </c>
      <c r="I2244" s="62">
        <v>9110580</v>
      </c>
      <c r="J2244" s="65">
        <v>0.99670000000000003</v>
      </c>
    </row>
    <row r="2245" spans="1:10">
      <c r="A2245" s="3" t="s">
        <v>11</v>
      </c>
      <c r="B2245" s="103">
        <v>49699</v>
      </c>
      <c r="C2245" s="57">
        <v>768</v>
      </c>
      <c r="D2245" s="61">
        <v>1.55E-2</v>
      </c>
      <c r="E2245" s="62">
        <v>51211</v>
      </c>
      <c r="F2245" s="63">
        <v>3.1E-2</v>
      </c>
      <c r="G2245" s="62">
        <v>48931</v>
      </c>
      <c r="H2245" s="64">
        <v>0.98450000000000004</v>
      </c>
      <c r="I2245" s="62">
        <v>1598484</v>
      </c>
      <c r="J2245" s="65">
        <v>0.96899999999999997</v>
      </c>
    </row>
    <row r="2246" spans="1:10">
      <c r="A2246" s="3" t="s">
        <v>12</v>
      </c>
      <c r="B2246" s="103">
        <v>11344</v>
      </c>
      <c r="C2246" s="62">
        <v>2837</v>
      </c>
      <c r="D2246" s="61">
        <v>0.25009999999999999</v>
      </c>
      <c r="E2246" s="62">
        <v>2351737</v>
      </c>
      <c r="F2246" s="63">
        <v>0.3931</v>
      </c>
      <c r="G2246" s="62">
        <v>8507</v>
      </c>
      <c r="H2246" s="64">
        <v>0.74990000000000001</v>
      </c>
      <c r="I2246" s="62">
        <v>3630919</v>
      </c>
      <c r="J2246" s="65">
        <v>0.6069</v>
      </c>
    </row>
    <row r="2247" spans="1:10">
      <c r="A2247" s="3" t="s">
        <v>13</v>
      </c>
      <c r="B2247" s="103">
        <v>418</v>
      </c>
      <c r="C2247" s="57">
        <v>335</v>
      </c>
      <c r="D2247" s="61">
        <v>0.8014</v>
      </c>
      <c r="E2247" s="62">
        <v>7931725</v>
      </c>
      <c r="F2247" s="63">
        <v>0.9466</v>
      </c>
      <c r="G2247" s="57">
        <v>83</v>
      </c>
      <c r="H2247" s="64">
        <v>0.1986</v>
      </c>
      <c r="I2247" s="62">
        <v>447328</v>
      </c>
      <c r="J2247" s="65">
        <v>5.3400000000000003E-2</v>
      </c>
    </row>
    <row r="2248" spans="1:10" ht="15.75" thickBot="1">
      <c r="A2248" s="3" t="s">
        <v>181</v>
      </c>
      <c r="B2248" s="103">
        <v>433</v>
      </c>
      <c r="C2248" s="105">
        <v>21</v>
      </c>
      <c r="D2248" s="106">
        <v>4.8500000000000001E-2</v>
      </c>
      <c r="E2248" s="62">
        <v>20785</v>
      </c>
      <c r="F2248" s="66">
        <v>0.64739999999999998</v>
      </c>
      <c r="G2248" s="50">
        <v>412</v>
      </c>
      <c r="H2248" s="68">
        <v>0.95150000000000001</v>
      </c>
      <c r="I2248" s="62">
        <v>11319</v>
      </c>
      <c r="J2248" s="104">
        <v>0.35260000000000002</v>
      </c>
    </row>
    <row r="2249" spans="1:10" ht="17.25" thickTop="1" thickBot="1">
      <c r="A2249" s="34" t="s">
        <v>175</v>
      </c>
      <c r="B2249" s="84">
        <f>SUM(B2244:B2248)</f>
        <v>592093</v>
      </c>
      <c r="C2249" s="74">
        <f>SUM(C2244:C2248)</f>
        <v>6112</v>
      </c>
      <c r="D2249" s="107">
        <v>1.03E-2</v>
      </c>
      <c r="E2249" s="74">
        <f>SUM(E2244:E2248)</f>
        <v>10385765</v>
      </c>
      <c r="F2249" s="73">
        <v>0.41239999999999999</v>
      </c>
      <c r="G2249" s="74">
        <f>SUM(G2244:G2248)</f>
        <v>585981</v>
      </c>
      <c r="H2249" s="75">
        <v>0.98970000000000002</v>
      </c>
      <c r="I2249" s="74">
        <f>SUM(I2244:I2248)</f>
        <v>14798630</v>
      </c>
      <c r="J2249" s="76">
        <v>0.58760000000000001</v>
      </c>
    </row>
    <row r="2250" spans="1:10" ht="21" customHeight="1" thickTop="1" thickBot="1">
      <c r="A2250" s="1" t="s">
        <v>241</v>
      </c>
      <c r="B2250" s="97"/>
      <c r="C2250" s="164" t="s">
        <v>179</v>
      </c>
      <c r="D2250" s="166"/>
      <c r="E2250" s="166"/>
      <c r="F2250" s="167"/>
      <c r="G2250" s="168" t="s">
        <v>180</v>
      </c>
      <c r="H2250" s="166"/>
      <c r="I2250" s="166"/>
      <c r="J2250" s="167"/>
    </row>
    <row r="2251" spans="1:10" ht="15.75" thickTop="1">
      <c r="B2251" s="42" t="s">
        <v>4</v>
      </c>
      <c r="C2251" s="43" t="s">
        <v>5</v>
      </c>
      <c r="D2251" s="44"/>
      <c r="E2251" s="169" t="s">
        <v>6</v>
      </c>
      <c r="F2251" s="170"/>
      <c r="G2251" s="43" t="s">
        <v>7</v>
      </c>
      <c r="H2251" s="46"/>
      <c r="I2251" s="169" t="s">
        <v>6</v>
      </c>
      <c r="J2251" s="171"/>
    </row>
    <row r="2252" spans="1:10" ht="15.75" thickBot="1">
      <c r="B2252" s="49" t="s">
        <v>8</v>
      </c>
      <c r="C2252" s="50" t="s">
        <v>8</v>
      </c>
      <c r="D2252" s="51" t="s">
        <v>9</v>
      </c>
      <c r="E2252" s="50" t="s">
        <v>8</v>
      </c>
      <c r="F2252" s="52" t="s">
        <v>9</v>
      </c>
      <c r="G2252" s="53" t="s">
        <v>8</v>
      </c>
      <c r="H2252" s="54" t="s">
        <v>9</v>
      </c>
      <c r="I2252" s="53" t="s">
        <v>8</v>
      </c>
      <c r="J2252" s="55" t="s">
        <v>9</v>
      </c>
    </row>
    <row r="2253" spans="1:10" ht="15.75" thickTop="1">
      <c r="C2253" s="43"/>
      <c r="E2253" s="57"/>
      <c r="F2253" s="58"/>
      <c r="G2253" s="57"/>
      <c r="I2253" s="57"/>
    </row>
    <row r="2254" spans="1:10">
      <c r="A2254" s="3" t="s">
        <v>10</v>
      </c>
      <c r="B2254" s="103">
        <v>529892</v>
      </c>
      <c r="C2254" s="62">
        <v>2145</v>
      </c>
      <c r="D2254" s="61">
        <v>4.0000000000000001E-3</v>
      </c>
      <c r="E2254" s="62">
        <v>35083</v>
      </c>
      <c r="F2254" s="63">
        <v>3.2000000000000002E-3</v>
      </c>
      <c r="G2254" s="62">
        <v>527747</v>
      </c>
      <c r="H2254" s="64">
        <v>0.996</v>
      </c>
      <c r="I2254" s="62">
        <v>10877888</v>
      </c>
      <c r="J2254" s="65">
        <v>0.99680000000000002</v>
      </c>
    </row>
    <row r="2255" spans="1:10">
      <c r="A2255" s="3" t="s">
        <v>11</v>
      </c>
      <c r="B2255" s="103">
        <v>49644</v>
      </c>
      <c r="C2255" s="57">
        <v>771</v>
      </c>
      <c r="D2255" s="61">
        <v>1.55E-2</v>
      </c>
      <c r="E2255" s="62">
        <v>55920</v>
      </c>
      <c r="F2255" s="63">
        <v>3.0599999999999999E-2</v>
      </c>
      <c r="G2255" s="62">
        <v>48873</v>
      </c>
      <c r="H2255" s="64">
        <v>0.98450000000000004</v>
      </c>
      <c r="I2255" s="62">
        <v>1769243</v>
      </c>
      <c r="J2255" s="65">
        <v>0.96940000000000004</v>
      </c>
    </row>
    <row r="2256" spans="1:10">
      <c r="A2256" s="3" t="s">
        <v>12</v>
      </c>
      <c r="B2256" s="103">
        <v>11368</v>
      </c>
      <c r="C2256" s="62">
        <v>2858</v>
      </c>
      <c r="D2256" s="61">
        <v>0.25140000000000001</v>
      </c>
      <c r="E2256" s="62">
        <v>2430018</v>
      </c>
      <c r="F2256" s="63">
        <v>0.38440000000000002</v>
      </c>
      <c r="G2256" s="62">
        <v>8510</v>
      </c>
      <c r="H2256" s="64">
        <v>0.74860000000000004</v>
      </c>
      <c r="I2256" s="62">
        <v>3891818</v>
      </c>
      <c r="J2256" s="65">
        <v>0.61560000000000004</v>
      </c>
    </row>
    <row r="2257" spans="1:10">
      <c r="A2257" s="3" t="s">
        <v>13</v>
      </c>
      <c r="B2257" s="103">
        <v>416</v>
      </c>
      <c r="C2257" s="57">
        <v>333</v>
      </c>
      <c r="D2257" s="61">
        <v>0.80049999999999999</v>
      </c>
      <c r="E2257" s="62">
        <v>7788504</v>
      </c>
      <c r="F2257" s="63">
        <v>0.94379999999999997</v>
      </c>
      <c r="G2257" s="57">
        <v>83</v>
      </c>
      <c r="H2257" s="64">
        <v>0.19950000000000001</v>
      </c>
      <c r="I2257" s="62">
        <v>463373</v>
      </c>
      <c r="J2257" s="65">
        <v>5.62E-2</v>
      </c>
    </row>
    <row r="2258" spans="1:10" ht="15.75" thickBot="1">
      <c r="A2258" s="3" t="s">
        <v>181</v>
      </c>
      <c r="B2258" s="103">
        <v>433</v>
      </c>
      <c r="C2258" s="105">
        <v>21</v>
      </c>
      <c r="D2258" s="106">
        <v>4.8500000000000001E-2</v>
      </c>
      <c r="E2258" s="62">
        <v>18509</v>
      </c>
      <c r="F2258" s="66">
        <v>0.64959999999999996</v>
      </c>
      <c r="G2258" s="50">
        <v>412</v>
      </c>
      <c r="H2258" s="68">
        <v>0.95150000000000001</v>
      </c>
      <c r="I2258" s="62">
        <v>9986</v>
      </c>
      <c r="J2258" s="104">
        <v>0.35039999999999999</v>
      </c>
    </row>
    <row r="2259" spans="1:10" ht="17.25" thickTop="1" thickBot="1">
      <c r="A2259" s="34" t="s">
        <v>175</v>
      </c>
      <c r="B2259" s="84">
        <f>SUM(B2254:B2258)</f>
        <v>591753</v>
      </c>
      <c r="C2259" s="74">
        <f>SUM(C2254:C2258)</f>
        <v>6128</v>
      </c>
      <c r="D2259" s="107">
        <v>1.04E-2</v>
      </c>
      <c r="E2259" s="74">
        <f>SUM(E2254:E2258)</f>
        <v>10328034</v>
      </c>
      <c r="F2259" s="73">
        <v>0.37780000000000002</v>
      </c>
      <c r="G2259" s="74">
        <f>SUM(G2254:G2258)</f>
        <v>585625</v>
      </c>
      <c r="H2259" s="75">
        <v>0.98960000000000004</v>
      </c>
      <c r="I2259" s="74">
        <f>SUM(I2254:I2258)</f>
        <v>17012308</v>
      </c>
      <c r="J2259" s="76">
        <v>0.62219999999999998</v>
      </c>
    </row>
    <row r="2260" spans="1:10" ht="17.25" thickTop="1" thickBot="1">
      <c r="A2260" s="1" t="s">
        <v>242</v>
      </c>
      <c r="B2260" s="97"/>
      <c r="C2260" s="164" t="s">
        <v>179</v>
      </c>
      <c r="D2260" s="166"/>
      <c r="E2260" s="166"/>
      <c r="F2260" s="167"/>
      <c r="G2260" s="168" t="s">
        <v>180</v>
      </c>
      <c r="H2260" s="166"/>
      <c r="I2260" s="166"/>
      <c r="J2260" s="167"/>
    </row>
    <row r="2261" spans="1:10" ht="21" customHeight="1" thickTop="1">
      <c r="B2261" s="42" t="s">
        <v>4</v>
      </c>
      <c r="C2261" s="43" t="s">
        <v>5</v>
      </c>
      <c r="D2261" s="44"/>
      <c r="E2261" s="169" t="s">
        <v>6</v>
      </c>
      <c r="F2261" s="170"/>
      <c r="G2261" s="43" t="s">
        <v>7</v>
      </c>
      <c r="H2261" s="46"/>
      <c r="I2261" s="169" t="s">
        <v>6</v>
      </c>
      <c r="J2261" s="171"/>
    </row>
    <row r="2262" spans="1:10" ht="15.75" thickBot="1">
      <c r="B2262" s="49" t="s">
        <v>8</v>
      </c>
      <c r="C2262" s="50" t="s">
        <v>8</v>
      </c>
      <c r="D2262" s="51" t="s">
        <v>9</v>
      </c>
      <c r="E2262" s="50" t="s">
        <v>8</v>
      </c>
      <c r="F2262" s="52" t="s">
        <v>9</v>
      </c>
      <c r="G2262" s="53" t="s">
        <v>8</v>
      </c>
      <c r="H2262" s="54" t="s">
        <v>9</v>
      </c>
      <c r="I2262" s="53" t="s">
        <v>8</v>
      </c>
      <c r="J2262" s="55" t="s">
        <v>9</v>
      </c>
    </row>
    <row r="2263" spans="1:10" ht="15.75" thickTop="1">
      <c r="C2263" s="43"/>
      <c r="E2263" s="57"/>
      <c r="F2263" s="58"/>
      <c r="G2263" s="57"/>
      <c r="I2263" s="57"/>
    </row>
    <row r="2264" spans="1:10">
      <c r="A2264" s="3" t="s">
        <v>10</v>
      </c>
      <c r="B2264" s="103">
        <v>529304</v>
      </c>
      <c r="C2264" s="62">
        <v>2142</v>
      </c>
      <c r="D2264" s="61">
        <v>4.0000000000000001E-3</v>
      </c>
      <c r="E2264" s="62">
        <v>39568</v>
      </c>
      <c r="F2264" s="63">
        <v>3.3999999999999998E-3</v>
      </c>
      <c r="G2264" s="62">
        <v>527162</v>
      </c>
      <c r="H2264" s="64">
        <v>0.996</v>
      </c>
      <c r="I2264" s="62">
        <v>11717553</v>
      </c>
      <c r="J2264" s="65">
        <v>0.99660000000000004</v>
      </c>
    </row>
    <row r="2265" spans="1:10">
      <c r="A2265" s="3" t="s">
        <v>11</v>
      </c>
      <c r="B2265" s="103">
        <v>49658</v>
      </c>
      <c r="C2265" s="57">
        <v>725</v>
      </c>
      <c r="D2265" s="61">
        <v>1.46E-2</v>
      </c>
      <c r="E2265" s="62">
        <v>61665</v>
      </c>
      <c r="F2265" s="63">
        <v>2.9499999999999998E-2</v>
      </c>
      <c r="G2265" s="62">
        <v>48933</v>
      </c>
      <c r="H2265" s="64">
        <v>0.98540000000000005</v>
      </c>
      <c r="I2265" s="62">
        <v>2029139</v>
      </c>
      <c r="J2265" s="65">
        <v>0.97050000000000003</v>
      </c>
    </row>
    <row r="2266" spans="1:10">
      <c r="A2266" s="3" t="s">
        <v>12</v>
      </c>
      <c r="B2266" s="103">
        <v>11317</v>
      </c>
      <c r="C2266" s="62">
        <v>2856</v>
      </c>
      <c r="D2266" s="61">
        <v>0.25240000000000001</v>
      </c>
      <c r="E2266" s="62">
        <v>2795636</v>
      </c>
      <c r="F2266" s="63">
        <v>0.39479999999999998</v>
      </c>
      <c r="G2266" s="62">
        <v>8461</v>
      </c>
      <c r="H2266" s="64">
        <v>0.74760000000000004</v>
      </c>
      <c r="I2266" s="62">
        <v>4284924</v>
      </c>
      <c r="J2266" s="65">
        <v>0.60519999999999996</v>
      </c>
    </row>
    <row r="2267" spans="1:10">
      <c r="A2267" s="3" t="s">
        <v>13</v>
      </c>
      <c r="B2267" s="103">
        <v>418</v>
      </c>
      <c r="C2267" s="57">
        <v>334</v>
      </c>
      <c r="D2267" s="61">
        <v>0.79900000000000004</v>
      </c>
      <c r="E2267" s="62">
        <v>7953435</v>
      </c>
      <c r="F2267" s="63">
        <v>0.94420000000000004</v>
      </c>
      <c r="G2267" s="57">
        <v>84</v>
      </c>
      <c r="H2267" s="64">
        <v>0.20100000000000001</v>
      </c>
      <c r="I2267" s="62">
        <v>470443</v>
      </c>
      <c r="J2267" s="65">
        <v>5.5800000000000002E-2</v>
      </c>
    </row>
    <row r="2268" spans="1:10" ht="15.75" thickBot="1">
      <c r="A2268" s="3" t="s">
        <v>181</v>
      </c>
      <c r="B2268" s="103">
        <v>435</v>
      </c>
      <c r="C2268" s="105">
        <v>22</v>
      </c>
      <c r="D2268" s="106">
        <v>5.0599999999999999E-2</v>
      </c>
      <c r="E2268" s="62">
        <v>17309</v>
      </c>
      <c r="F2268" s="66">
        <v>0.65049999999999997</v>
      </c>
      <c r="G2268" s="50">
        <v>413</v>
      </c>
      <c r="H2268" s="68">
        <v>0.94940000000000002</v>
      </c>
      <c r="I2268" s="62">
        <v>9299</v>
      </c>
      <c r="J2268" s="104">
        <v>0.34949999999999998</v>
      </c>
    </row>
    <row r="2269" spans="1:10" ht="17.25" thickTop="1" thickBot="1">
      <c r="A2269" s="34" t="s">
        <v>175</v>
      </c>
      <c r="B2269" s="84">
        <f>SUM(B2264:B2268)</f>
        <v>591132</v>
      </c>
      <c r="C2269" s="74">
        <f>SUM(C2264:C2268)</f>
        <v>6079</v>
      </c>
      <c r="D2269" s="107">
        <v>1.03E-2</v>
      </c>
      <c r="E2269" s="74">
        <f>SUM(E2264:E2268)</f>
        <v>10867613</v>
      </c>
      <c r="F2269" s="73">
        <v>0.36990000000000001</v>
      </c>
      <c r="G2269" s="74">
        <f>SUM(G2264:G2268)</f>
        <v>585053</v>
      </c>
      <c r="H2269" s="75">
        <v>0.98970000000000002</v>
      </c>
      <c r="I2269" s="74">
        <f>SUM(I2264:I2268)</f>
        <v>18511358</v>
      </c>
      <c r="J2269" s="76">
        <v>0.63009999999999999</v>
      </c>
    </row>
    <row r="2270" spans="1:10" ht="17.25" thickTop="1" thickBot="1">
      <c r="A2270" s="1" t="s">
        <v>243</v>
      </c>
      <c r="B2270" s="97"/>
      <c r="C2270" s="164" t="s">
        <v>179</v>
      </c>
      <c r="D2270" s="166"/>
      <c r="E2270" s="166"/>
      <c r="F2270" s="167"/>
      <c r="G2270" s="168" t="s">
        <v>180</v>
      </c>
      <c r="H2270" s="166"/>
      <c r="I2270" s="166"/>
      <c r="J2270" s="167"/>
    </row>
    <row r="2271" spans="1:10" ht="15.75" thickTop="1">
      <c r="B2271" s="42" t="s">
        <v>4</v>
      </c>
      <c r="C2271" s="43" t="s">
        <v>5</v>
      </c>
      <c r="D2271" s="44"/>
      <c r="E2271" s="169" t="s">
        <v>6</v>
      </c>
      <c r="F2271" s="170"/>
      <c r="G2271" s="43" t="s">
        <v>7</v>
      </c>
      <c r="H2271" s="46"/>
      <c r="I2271" s="169" t="s">
        <v>6</v>
      </c>
      <c r="J2271" s="171"/>
    </row>
    <row r="2272" spans="1:10" ht="21" customHeight="1" thickBot="1">
      <c r="B2272" s="49" t="s">
        <v>8</v>
      </c>
      <c r="C2272" s="50" t="s">
        <v>8</v>
      </c>
      <c r="D2272" s="51" t="s">
        <v>9</v>
      </c>
      <c r="E2272" s="50" t="s">
        <v>8</v>
      </c>
      <c r="F2272" s="52" t="s">
        <v>9</v>
      </c>
      <c r="G2272" s="53" t="s">
        <v>8</v>
      </c>
      <c r="H2272" s="54" t="s">
        <v>9</v>
      </c>
      <c r="I2272" s="53" t="s">
        <v>8</v>
      </c>
      <c r="J2272" s="55" t="s">
        <v>9</v>
      </c>
    </row>
    <row r="2273" spans="1:10" ht="15.75" thickTop="1">
      <c r="C2273" s="43"/>
      <c r="E2273" s="57"/>
      <c r="F2273" s="58"/>
      <c r="G2273" s="57"/>
      <c r="I2273" s="57"/>
    </row>
    <row r="2274" spans="1:10">
      <c r="A2274" s="3" t="s">
        <v>10</v>
      </c>
      <c r="B2274" s="103">
        <v>528983</v>
      </c>
      <c r="C2274" s="62">
        <v>2127</v>
      </c>
      <c r="D2274" s="61">
        <v>4.0000000000000001E-3</v>
      </c>
      <c r="E2274" s="62">
        <v>35454</v>
      </c>
      <c r="F2274" s="63">
        <v>3.3999999999999998E-3</v>
      </c>
      <c r="G2274" s="62">
        <v>526856</v>
      </c>
      <c r="H2274" s="64">
        <v>0.996</v>
      </c>
      <c r="I2274" s="62">
        <v>10372227</v>
      </c>
      <c r="J2274" s="65">
        <v>0.99660000000000004</v>
      </c>
    </row>
    <row r="2275" spans="1:10">
      <c r="A2275" s="3" t="s">
        <v>11</v>
      </c>
      <c r="B2275" s="103">
        <v>49656</v>
      </c>
      <c r="C2275" s="57">
        <v>778</v>
      </c>
      <c r="D2275" s="61">
        <v>1.5699999999999999E-2</v>
      </c>
      <c r="E2275" s="62">
        <v>57637</v>
      </c>
      <c r="F2275" s="63">
        <v>3.1899999999999998E-2</v>
      </c>
      <c r="G2275" s="62">
        <v>48878</v>
      </c>
      <c r="H2275" s="64">
        <v>0.98429999999999995</v>
      </c>
      <c r="I2275" s="62">
        <v>1748782</v>
      </c>
      <c r="J2275" s="65">
        <v>0.96809999999999996</v>
      </c>
    </row>
    <row r="2276" spans="1:10">
      <c r="A2276" s="3" t="s">
        <v>12</v>
      </c>
      <c r="B2276" s="103">
        <v>11303</v>
      </c>
      <c r="C2276" s="62">
        <v>2853</v>
      </c>
      <c r="D2276" s="61">
        <v>0.25240000000000001</v>
      </c>
      <c r="E2276" s="62">
        <v>2711372</v>
      </c>
      <c r="F2276" s="63">
        <v>0.41520000000000001</v>
      </c>
      <c r="G2276" s="62">
        <v>8450</v>
      </c>
      <c r="H2276" s="64">
        <v>0.74760000000000004</v>
      </c>
      <c r="I2276" s="62">
        <v>3818896</v>
      </c>
      <c r="J2276" s="65">
        <v>0.58479999999999999</v>
      </c>
    </row>
    <row r="2277" spans="1:10">
      <c r="A2277" s="3" t="s">
        <v>13</v>
      </c>
      <c r="B2277" s="103">
        <v>418</v>
      </c>
      <c r="C2277" s="57">
        <v>335</v>
      </c>
      <c r="D2277" s="61">
        <v>0.8014</v>
      </c>
      <c r="E2277" s="62">
        <v>7687435</v>
      </c>
      <c r="F2277" s="63">
        <v>0.9415</v>
      </c>
      <c r="G2277" s="57">
        <v>83</v>
      </c>
      <c r="H2277" s="64">
        <v>0.1986</v>
      </c>
      <c r="I2277" s="62">
        <v>477763</v>
      </c>
      <c r="J2277" s="65">
        <v>5.8500000000000003E-2</v>
      </c>
    </row>
    <row r="2278" spans="1:10" ht="15.75" thickBot="1">
      <c r="A2278" s="3" t="s">
        <v>181</v>
      </c>
      <c r="B2278" s="103">
        <v>435</v>
      </c>
      <c r="C2278" s="105">
        <v>23</v>
      </c>
      <c r="D2278" s="106">
        <v>5.2900000000000003E-2</v>
      </c>
      <c r="E2278" s="62">
        <v>18671</v>
      </c>
      <c r="F2278" s="66">
        <v>0.65610000000000002</v>
      </c>
      <c r="G2278" s="50">
        <v>412</v>
      </c>
      <c r="H2278" s="68">
        <v>0.94710000000000005</v>
      </c>
      <c r="I2278" s="62">
        <v>9788</v>
      </c>
      <c r="J2278" s="104">
        <v>0.34389999999999998</v>
      </c>
    </row>
    <row r="2279" spans="1:10" ht="17.25" thickTop="1" thickBot="1">
      <c r="A2279" s="34" t="s">
        <v>175</v>
      </c>
      <c r="B2279" s="84">
        <f>SUM(B2274:B2278)</f>
        <v>590795</v>
      </c>
      <c r="C2279" s="74">
        <f>SUM(C2274:C2278)</f>
        <v>6116</v>
      </c>
      <c r="D2279" s="107">
        <v>1.04E-2</v>
      </c>
      <c r="E2279" s="74">
        <f>SUM(E2274:E2278)</f>
        <v>10510569</v>
      </c>
      <c r="F2279" s="73">
        <v>0.39019999999999999</v>
      </c>
      <c r="G2279" s="74">
        <f>SUM(G2274:G2278)</f>
        <v>584679</v>
      </c>
      <c r="H2279" s="75">
        <v>0.98960000000000004</v>
      </c>
      <c r="I2279" s="74">
        <f>SUM(I2274:I2278)</f>
        <v>16427456</v>
      </c>
      <c r="J2279" s="76">
        <v>0.60980000000000001</v>
      </c>
    </row>
    <row r="2280" spans="1:10" ht="17.25" thickTop="1" thickBot="1">
      <c r="A2280" s="1" t="s">
        <v>244</v>
      </c>
      <c r="B2280" s="97"/>
      <c r="C2280" s="164" t="s">
        <v>179</v>
      </c>
      <c r="D2280" s="166"/>
      <c r="E2280" s="166"/>
      <c r="F2280" s="167"/>
      <c r="G2280" s="168" t="s">
        <v>180</v>
      </c>
      <c r="H2280" s="166"/>
      <c r="I2280" s="166"/>
      <c r="J2280" s="167"/>
    </row>
    <row r="2281" spans="1:10" ht="15.75" thickTop="1">
      <c r="B2281" s="42" t="s">
        <v>4</v>
      </c>
      <c r="C2281" s="43" t="s">
        <v>5</v>
      </c>
      <c r="D2281" s="44"/>
      <c r="E2281" s="169" t="s">
        <v>6</v>
      </c>
      <c r="F2281" s="170"/>
      <c r="G2281" s="43" t="s">
        <v>7</v>
      </c>
      <c r="H2281" s="46"/>
      <c r="I2281" s="169" t="s">
        <v>6</v>
      </c>
      <c r="J2281" s="171"/>
    </row>
    <row r="2282" spans="1:10" ht="15.75" thickBot="1">
      <c r="B2282" s="49" t="s">
        <v>8</v>
      </c>
      <c r="C2282" s="50" t="s">
        <v>8</v>
      </c>
      <c r="D2282" s="51" t="s">
        <v>9</v>
      </c>
      <c r="E2282" s="50" t="s">
        <v>8</v>
      </c>
      <c r="F2282" s="52" t="s">
        <v>9</v>
      </c>
      <c r="G2282" s="53" t="s">
        <v>8</v>
      </c>
      <c r="H2282" s="54" t="s">
        <v>9</v>
      </c>
      <c r="I2282" s="53" t="s">
        <v>8</v>
      </c>
      <c r="J2282" s="55" t="s">
        <v>9</v>
      </c>
    </row>
    <row r="2283" spans="1:10" ht="21" customHeight="1" thickTop="1">
      <c r="C2283" s="43"/>
      <c r="E2283" s="57"/>
      <c r="F2283" s="58"/>
      <c r="G2283" s="57"/>
      <c r="I2283" s="57"/>
    </row>
    <row r="2284" spans="1:10">
      <c r="A2284" s="3" t="s">
        <v>10</v>
      </c>
      <c r="B2284" s="103">
        <v>528762</v>
      </c>
      <c r="C2284" s="62">
        <v>2069</v>
      </c>
      <c r="D2284" s="61">
        <v>3.8999999999999998E-3</v>
      </c>
      <c r="E2284" s="62">
        <v>28894</v>
      </c>
      <c r="F2284" s="63">
        <v>3.2000000000000002E-3</v>
      </c>
      <c r="G2284" s="62">
        <v>526693</v>
      </c>
      <c r="H2284" s="64">
        <v>0.99609999999999999</v>
      </c>
      <c r="I2284" s="62">
        <v>9037004</v>
      </c>
      <c r="J2284" s="65">
        <v>0.99680000000000002</v>
      </c>
    </row>
    <row r="2285" spans="1:10">
      <c r="A2285" s="3" t="s">
        <v>11</v>
      </c>
      <c r="B2285" s="103">
        <v>49571</v>
      </c>
      <c r="C2285" s="57">
        <v>777</v>
      </c>
      <c r="D2285" s="61">
        <v>1.5699999999999999E-2</v>
      </c>
      <c r="E2285" s="62">
        <v>52416</v>
      </c>
      <c r="F2285" s="63">
        <v>3.3500000000000002E-2</v>
      </c>
      <c r="G2285" s="62">
        <v>48794</v>
      </c>
      <c r="H2285" s="64">
        <v>0.98429999999999995</v>
      </c>
      <c r="I2285" s="62">
        <v>1512841</v>
      </c>
      <c r="J2285" s="65">
        <v>0.96650000000000003</v>
      </c>
    </row>
    <row r="2286" spans="1:10">
      <c r="A2286" s="3" t="s">
        <v>12</v>
      </c>
      <c r="B2286" s="103">
        <v>11276</v>
      </c>
      <c r="C2286" s="62">
        <v>2877</v>
      </c>
      <c r="D2286" s="61">
        <v>0.25509999999999999</v>
      </c>
      <c r="E2286" s="62">
        <v>2416951</v>
      </c>
      <c r="F2286" s="63">
        <v>0.43190000000000001</v>
      </c>
      <c r="G2286" s="62">
        <v>8399</v>
      </c>
      <c r="H2286" s="64">
        <v>0.74490000000000001</v>
      </c>
      <c r="I2286" s="62">
        <v>3178509</v>
      </c>
      <c r="J2286" s="65">
        <v>0.56810000000000005</v>
      </c>
    </row>
    <row r="2287" spans="1:10">
      <c r="A2287" s="3" t="s">
        <v>13</v>
      </c>
      <c r="B2287" s="103">
        <v>419</v>
      </c>
      <c r="C2287" s="57">
        <v>337</v>
      </c>
      <c r="D2287" s="61">
        <v>0.80430000000000001</v>
      </c>
      <c r="E2287" s="62">
        <v>7568484</v>
      </c>
      <c r="F2287" s="63">
        <v>0.95230000000000004</v>
      </c>
      <c r="G2287" s="57">
        <v>82</v>
      </c>
      <c r="H2287" s="64">
        <v>0.19570000000000001</v>
      </c>
      <c r="I2287" s="62">
        <v>378946</v>
      </c>
      <c r="J2287" s="65">
        <v>4.7699999999999999E-2</v>
      </c>
    </row>
    <row r="2288" spans="1:10" ht="15.75" thickBot="1">
      <c r="A2288" s="3" t="s">
        <v>181</v>
      </c>
      <c r="B2288" s="103">
        <v>435</v>
      </c>
      <c r="C2288" s="105">
        <v>23</v>
      </c>
      <c r="D2288" s="106">
        <v>5.2900000000000003E-2</v>
      </c>
      <c r="E2288" s="62">
        <v>18059</v>
      </c>
      <c r="F2288" s="66">
        <v>0.64970000000000006</v>
      </c>
      <c r="G2288" s="50">
        <v>412</v>
      </c>
      <c r="H2288" s="68">
        <v>0.94710000000000005</v>
      </c>
      <c r="I2288" s="62">
        <v>9738</v>
      </c>
      <c r="J2288" s="104">
        <v>0.3503</v>
      </c>
    </row>
    <row r="2289" spans="1:10" ht="17.25" thickTop="1" thickBot="1">
      <c r="A2289" s="34" t="s">
        <v>175</v>
      </c>
      <c r="B2289" s="84">
        <f>SUM(B2284:B2288)</f>
        <v>590463</v>
      </c>
      <c r="C2289" s="74">
        <f>SUM(C2284:C2288)</f>
        <v>6083</v>
      </c>
      <c r="D2289" s="107">
        <v>1.03E-2</v>
      </c>
      <c r="E2289" s="74">
        <f>SUM(E2284:E2288)</f>
        <v>10084804</v>
      </c>
      <c r="F2289" s="73">
        <v>0.41670000000000001</v>
      </c>
      <c r="G2289" s="74">
        <f>SUM(G2284:G2288)</f>
        <v>584380</v>
      </c>
      <c r="H2289" s="75">
        <v>0.98970000000000002</v>
      </c>
      <c r="I2289" s="74">
        <f>SUM(I2284:I2288)</f>
        <v>14117038</v>
      </c>
      <c r="J2289" s="76">
        <v>0.58330000000000004</v>
      </c>
    </row>
    <row r="2290" spans="1:10" ht="17.25" thickTop="1" thickBot="1">
      <c r="A2290" s="1" t="s">
        <v>245</v>
      </c>
      <c r="B2290" s="97"/>
      <c r="C2290" s="164" t="s">
        <v>179</v>
      </c>
      <c r="D2290" s="166"/>
      <c r="E2290" s="166"/>
      <c r="F2290" s="167"/>
      <c r="G2290" s="168" t="s">
        <v>180</v>
      </c>
      <c r="H2290" s="166"/>
      <c r="I2290" s="166"/>
      <c r="J2290" s="167"/>
    </row>
    <row r="2291" spans="1:10" ht="15.75" thickTop="1">
      <c r="B2291" s="42" t="s">
        <v>4</v>
      </c>
      <c r="C2291" s="43" t="s">
        <v>5</v>
      </c>
      <c r="D2291" s="44"/>
      <c r="E2291" s="169" t="s">
        <v>6</v>
      </c>
      <c r="F2291" s="170"/>
      <c r="G2291" s="43" t="s">
        <v>7</v>
      </c>
      <c r="H2291" s="46"/>
      <c r="I2291" s="169" t="s">
        <v>6</v>
      </c>
      <c r="J2291" s="171"/>
    </row>
    <row r="2292" spans="1:10" ht="15.75" thickBot="1">
      <c r="B2292" s="49" t="s">
        <v>8</v>
      </c>
      <c r="C2292" s="50" t="s">
        <v>8</v>
      </c>
      <c r="D2292" s="51" t="s">
        <v>9</v>
      </c>
      <c r="E2292" s="50" t="s">
        <v>8</v>
      </c>
      <c r="F2292" s="52" t="s">
        <v>9</v>
      </c>
      <c r="G2292" s="53" t="s">
        <v>8</v>
      </c>
      <c r="H2292" s="54" t="s">
        <v>9</v>
      </c>
      <c r="I2292" s="53" t="s">
        <v>8</v>
      </c>
      <c r="J2292" s="55" t="s">
        <v>9</v>
      </c>
    </row>
    <row r="2293" spans="1:10" ht="15.75" thickTop="1">
      <c r="C2293" s="43"/>
      <c r="E2293" s="57"/>
      <c r="F2293" s="58"/>
      <c r="G2293" s="57"/>
      <c r="I2293" s="57"/>
    </row>
    <row r="2294" spans="1:10" ht="21" customHeight="1">
      <c r="A2294" s="3" t="s">
        <v>10</v>
      </c>
      <c r="B2294" s="103">
        <v>529456</v>
      </c>
      <c r="C2294" s="62">
        <v>2014</v>
      </c>
      <c r="D2294" s="61">
        <v>3.8E-3</v>
      </c>
      <c r="E2294" s="62">
        <v>29030</v>
      </c>
      <c r="F2294" s="63">
        <v>3.2000000000000002E-3</v>
      </c>
      <c r="G2294" s="62">
        <v>527442</v>
      </c>
      <c r="H2294" s="64">
        <v>0.99619999999999997</v>
      </c>
      <c r="I2294" s="62">
        <v>9088960</v>
      </c>
      <c r="J2294" s="65">
        <v>0.99680000000000002</v>
      </c>
    </row>
    <row r="2295" spans="1:10">
      <c r="A2295" s="3" t="s">
        <v>11</v>
      </c>
      <c r="B2295" s="103">
        <v>49527</v>
      </c>
      <c r="C2295" s="57">
        <v>786</v>
      </c>
      <c r="D2295" s="61">
        <v>1.5900000000000001E-2</v>
      </c>
      <c r="E2295" s="62">
        <v>50899</v>
      </c>
      <c r="F2295" s="63">
        <v>3.4000000000000002E-2</v>
      </c>
      <c r="G2295" s="62">
        <v>48741</v>
      </c>
      <c r="H2295" s="64">
        <v>0.98409999999999997</v>
      </c>
      <c r="I2295" s="62">
        <v>1446505</v>
      </c>
      <c r="J2295" s="65">
        <v>0.96599999999999997</v>
      </c>
    </row>
    <row r="2296" spans="1:10">
      <c r="A2296" s="3" t="s">
        <v>12</v>
      </c>
      <c r="B2296" s="103">
        <v>11278</v>
      </c>
      <c r="C2296" s="62">
        <v>2899</v>
      </c>
      <c r="D2296" s="61">
        <v>0.25700000000000001</v>
      </c>
      <c r="E2296" s="62">
        <v>2230085</v>
      </c>
      <c r="F2296" s="63">
        <v>0.43890000000000001</v>
      </c>
      <c r="G2296" s="62">
        <v>8379</v>
      </c>
      <c r="H2296" s="64">
        <v>0.74299999999999999</v>
      </c>
      <c r="I2296" s="62">
        <v>2851224</v>
      </c>
      <c r="J2296" s="65">
        <v>0.56110000000000004</v>
      </c>
    </row>
    <row r="2297" spans="1:10">
      <c r="A2297" s="3" t="s">
        <v>13</v>
      </c>
      <c r="B2297" s="103">
        <v>422</v>
      </c>
      <c r="C2297" s="57">
        <v>342</v>
      </c>
      <c r="D2297" s="61">
        <v>0.81040000000000001</v>
      </c>
      <c r="E2297" s="62">
        <v>7434008</v>
      </c>
      <c r="F2297" s="63">
        <v>0.94779999999999998</v>
      </c>
      <c r="G2297" s="57">
        <v>80</v>
      </c>
      <c r="H2297" s="64">
        <v>0.18959999999999999</v>
      </c>
      <c r="I2297" s="62">
        <v>409378</v>
      </c>
      <c r="J2297" s="65">
        <v>5.2200000000000003E-2</v>
      </c>
    </row>
    <row r="2298" spans="1:10" ht="15.75" thickBot="1">
      <c r="A2298" s="3" t="s">
        <v>181</v>
      </c>
      <c r="B2298" s="103">
        <v>434</v>
      </c>
      <c r="C2298" s="105">
        <v>23</v>
      </c>
      <c r="D2298" s="106">
        <v>5.2999999999999999E-2</v>
      </c>
      <c r="E2298" s="62">
        <v>20091</v>
      </c>
      <c r="F2298" s="66">
        <v>0.65459999999999996</v>
      </c>
      <c r="G2298" s="50">
        <v>411</v>
      </c>
      <c r="H2298" s="68">
        <v>0.94699999999999995</v>
      </c>
      <c r="I2298" s="62">
        <v>10599</v>
      </c>
      <c r="J2298" s="104">
        <v>0.34539999999999998</v>
      </c>
    </row>
    <row r="2299" spans="1:10" ht="17.25" thickTop="1" thickBot="1">
      <c r="A2299" s="34" t="s">
        <v>175</v>
      </c>
      <c r="B2299" s="84">
        <f>SUM(B2294:B2298)</f>
        <v>591117</v>
      </c>
      <c r="C2299" s="74">
        <f>SUM(C2294:C2298)</f>
        <v>6064</v>
      </c>
      <c r="D2299" s="107">
        <v>1.03E-2</v>
      </c>
      <c r="E2299" s="74">
        <f>SUM(E2294:E2298)</f>
        <v>9764113</v>
      </c>
      <c r="F2299" s="73">
        <v>0.41420000000000001</v>
      </c>
      <c r="G2299" s="74">
        <f>SUM(G2294:G2298)</f>
        <v>585053</v>
      </c>
      <c r="H2299" s="75">
        <v>0.98970000000000002</v>
      </c>
      <c r="I2299" s="74">
        <f>SUM(I2294:I2298)</f>
        <v>13806666</v>
      </c>
      <c r="J2299" s="76">
        <v>0.58579999999999999</v>
      </c>
    </row>
    <row r="2300" spans="1:10" ht="17.25" thickTop="1" thickBot="1">
      <c r="A2300" s="1" t="s">
        <v>246</v>
      </c>
      <c r="B2300" s="97"/>
      <c r="C2300" s="164" t="s">
        <v>179</v>
      </c>
      <c r="D2300" s="166"/>
      <c r="E2300" s="166"/>
      <c r="F2300" s="167"/>
      <c r="G2300" s="168" t="s">
        <v>180</v>
      </c>
      <c r="H2300" s="166"/>
      <c r="I2300" s="166"/>
      <c r="J2300" s="167"/>
    </row>
    <row r="2301" spans="1:10" ht="15.75" thickTop="1">
      <c r="B2301" s="42" t="s">
        <v>4</v>
      </c>
      <c r="C2301" s="43" t="s">
        <v>5</v>
      </c>
      <c r="D2301" s="44"/>
      <c r="E2301" s="169" t="s">
        <v>6</v>
      </c>
      <c r="F2301" s="170"/>
      <c r="G2301" s="43" t="s">
        <v>7</v>
      </c>
      <c r="H2301" s="46"/>
      <c r="I2301" s="169" t="s">
        <v>6</v>
      </c>
      <c r="J2301" s="171"/>
    </row>
    <row r="2302" spans="1:10" ht="15.75" thickBot="1">
      <c r="B2302" s="49" t="s">
        <v>8</v>
      </c>
      <c r="C2302" s="50" t="s">
        <v>8</v>
      </c>
      <c r="D2302" s="51" t="s">
        <v>9</v>
      </c>
      <c r="E2302" s="50" t="s">
        <v>8</v>
      </c>
      <c r="F2302" s="52" t="s">
        <v>9</v>
      </c>
      <c r="G2302" s="53" t="s">
        <v>8</v>
      </c>
      <c r="H2302" s="54" t="s">
        <v>9</v>
      </c>
      <c r="I2302" s="53" t="s">
        <v>8</v>
      </c>
      <c r="J2302" s="55" t="s">
        <v>9</v>
      </c>
    </row>
    <row r="2303" spans="1:10" ht="15.75" thickTop="1">
      <c r="C2303" s="43"/>
      <c r="E2303" s="57"/>
      <c r="F2303" s="58"/>
      <c r="G2303" s="57"/>
      <c r="I2303" s="57"/>
    </row>
    <row r="2304" spans="1:10">
      <c r="A2304" s="3" t="s">
        <v>10</v>
      </c>
      <c r="B2304" s="103">
        <v>529442</v>
      </c>
      <c r="C2304" s="62">
        <v>1987</v>
      </c>
      <c r="D2304" s="61">
        <v>3.8E-3</v>
      </c>
      <c r="E2304" s="62">
        <v>30791</v>
      </c>
      <c r="F2304" s="63">
        <v>3.0999999999999999E-3</v>
      </c>
      <c r="G2304" s="62">
        <v>527455</v>
      </c>
      <c r="H2304" s="64">
        <v>0.99619999999999997</v>
      </c>
      <c r="I2304" s="62">
        <v>9753736</v>
      </c>
      <c r="J2304" s="65">
        <v>0.99690000000000001</v>
      </c>
    </row>
    <row r="2305" spans="1:10" ht="21" customHeight="1">
      <c r="A2305" s="3" t="s">
        <v>11</v>
      </c>
      <c r="B2305" s="103">
        <v>49536</v>
      </c>
      <c r="C2305" s="57">
        <v>796</v>
      </c>
      <c r="D2305" s="61">
        <v>1.61E-2</v>
      </c>
      <c r="E2305" s="62">
        <v>53103</v>
      </c>
      <c r="F2305" s="63">
        <v>3.3599999999999998E-2</v>
      </c>
      <c r="G2305" s="62">
        <v>48740</v>
      </c>
      <c r="H2305" s="64">
        <v>0.9839</v>
      </c>
      <c r="I2305" s="62">
        <v>1528967</v>
      </c>
      <c r="J2305" s="65">
        <v>0.96640000000000004</v>
      </c>
    </row>
    <row r="2306" spans="1:10">
      <c r="A2306" s="3" t="s">
        <v>12</v>
      </c>
      <c r="B2306" s="103">
        <v>11226</v>
      </c>
      <c r="C2306" s="62">
        <v>2926</v>
      </c>
      <c r="D2306" s="61">
        <v>0.2606</v>
      </c>
      <c r="E2306" s="62">
        <v>2239271</v>
      </c>
      <c r="F2306" s="63">
        <v>0.4395</v>
      </c>
      <c r="G2306" s="62">
        <v>8300</v>
      </c>
      <c r="H2306" s="64">
        <v>0.73939999999999995</v>
      </c>
      <c r="I2306" s="62">
        <v>2856348</v>
      </c>
      <c r="J2306" s="65">
        <v>0.5605</v>
      </c>
    </row>
    <row r="2307" spans="1:10">
      <c r="A2307" s="3" t="s">
        <v>13</v>
      </c>
      <c r="B2307" s="103">
        <v>421</v>
      </c>
      <c r="C2307" s="57">
        <v>341</v>
      </c>
      <c r="D2307" s="61">
        <v>0.81</v>
      </c>
      <c r="E2307" s="62">
        <v>8658021</v>
      </c>
      <c r="F2307" s="63">
        <v>0.95330000000000004</v>
      </c>
      <c r="G2307" s="57">
        <v>80</v>
      </c>
      <c r="H2307" s="64">
        <v>0.19</v>
      </c>
      <c r="I2307" s="62">
        <v>424013</v>
      </c>
      <c r="J2307" s="65">
        <v>4.6699999999999998E-2</v>
      </c>
    </row>
    <row r="2308" spans="1:10" ht="15.75" thickBot="1">
      <c r="A2308" s="3" t="s">
        <v>181</v>
      </c>
      <c r="B2308" s="103">
        <v>434</v>
      </c>
      <c r="C2308" s="105">
        <v>23</v>
      </c>
      <c r="D2308" s="106">
        <v>5.2999999999999999E-2</v>
      </c>
      <c r="E2308" s="62">
        <v>19918</v>
      </c>
      <c r="F2308" s="66">
        <v>0.65200000000000002</v>
      </c>
      <c r="G2308" s="50">
        <v>411</v>
      </c>
      <c r="H2308" s="68">
        <v>0.94699999999999995</v>
      </c>
      <c r="I2308" s="62">
        <v>10631</v>
      </c>
      <c r="J2308" s="104">
        <v>0.34799999999999998</v>
      </c>
    </row>
    <row r="2309" spans="1:10" ht="17.25" thickTop="1" thickBot="1">
      <c r="A2309" s="34" t="s">
        <v>175</v>
      </c>
      <c r="B2309" s="84">
        <f>SUM(B2304:B2308)</f>
        <v>591059</v>
      </c>
      <c r="C2309" s="74">
        <f>SUM(C2304:C2308)</f>
        <v>6073</v>
      </c>
      <c r="D2309" s="107">
        <v>1.03E-2</v>
      </c>
      <c r="E2309" s="74">
        <f>SUM(E2304:E2308)</f>
        <v>11001104</v>
      </c>
      <c r="F2309" s="73">
        <v>0.43020000000000003</v>
      </c>
      <c r="G2309" s="74">
        <f>SUM(G2304:G2308)</f>
        <v>584986</v>
      </c>
      <c r="H2309" s="75">
        <v>0.98970000000000002</v>
      </c>
      <c r="I2309" s="74">
        <f>SUM(I2304:I2308)</f>
        <v>14573695</v>
      </c>
      <c r="J2309" s="76">
        <v>0.56979999999999997</v>
      </c>
    </row>
    <row r="2310" spans="1:10" ht="17.25" thickTop="1" thickBot="1">
      <c r="A2310" s="1" t="s">
        <v>247</v>
      </c>
      <c r="B2310" s="97"/>
      <c r="C2310" s="164" t="s">
        <v>179</v>
      </c>
      <c r="D2310" s="166"/>
      <c r="E2310" s="166"/>
      <c r="F2310" s="167"/>
      <c r="G2310" s="168" t="s">
        <v>180</v>
      </c>
      <c r="H2310" s="166"/>
      <c r="I2310" s="166"/>
      <c r="J2310" s="167"/>
    </row>
    <row r="2311" spans="1:10" ht="15.75" thickTop="1">
      <c r="B2311" s="42" t="s">
        <v>4</v>
      </c>
      <c r="C2311" s="43" t="s">
        <v>5</v>
      </c>
      <c r="D2311" s="44"/>
      <c r="E2311" s="169" t="s">
        <v>6</v>
      </c>
      <c r="F2311" s="170"/>
      <c r="G2311" s="43" t="s">
        <v>7</v>
      </c>
      <c r="H2311" s="46"/>
      <c r="I2311" s="169" t="s">
        <v>6</v>
      </c>
      <c r="J2311" s="171"/>
    </row>
    <row r="2312" spans="1:10" ht="15.75" thickBot="1">
      <c r="B2312" s="49" t="s">
        <v>8</v>
      </c>
      <c r="C2312" s="50" t="s">
        <v>8</v>
      </c>
      <c r="D2312" s="51" t="s">
        <v>9</v>
      </c>
      <c r="E2312" s="50" t="s">
        <v>8</v>
      </c>
      <c r="F2312" s="52" t="s">
        <v>9</v>
      </c>
      <c r="G2312" s="53" t="s">
        <v>8</v>
      </c>
      <c r="H2312" s="54" t="s">
        <v>9</v>
      </c>
      <c r="I2312" s="53" t="s">
        <v>8</v>
      </c>
      <c r="J2312" s="55" t="s">
        <v>9</v>
      </c>
    </row>
    <row r="2313" spans="1:10" ht="15.75" thickTop="1">
      <c r="C2313" s="43"/>
      <c r="E2313" s="57"/>
      <c r="F2313" s="58"/>
      <c r="G2313" s="57"/>
      <c r="I2313" s="57"/>
    </row>
    <row r="2314" spans="1:10">
      <c r="A2314" s="3" t="s">
        <v>10</v>
      </c>
      <c r="B2314" s="103">
        <v>529239</v>
      </c>
      <c r="C2314" s="62">
        <v>1953</v>
      </c>
      <c r="D2314" s="61">
        <v>3.7000000000000002E-3</v>
      </c>
      <c r="E2314" s="62">
        <v>33389</v>
      </c>
      <c r="F2314" s="63">
        <v>3.0999999999999999E-3</v>
      </c>
      <c r="G2314" s="62">
        <v>527286</v>
      </c>
      <c r="H2314" s="64">
        <v>0.99629999999999996</v>
      </c>
      <c r="I2314" s="62">
        <v>10762918</v>
      </c>
      <c r="J2314" s="65">
        <v>0.99690000000000001</v>
      </c>
    </row>
    <row r="2315" spans="1:10">
      <c r="A2315" s="3" t="s">
        <v>11</v>
      </c>
      <c r="B2315" s="103">
        <v>49517</v>
      </c>
      <c r="C2315" s="57">
        <v>791</v>
      </c>
      <c r="D2315" s="61">
        <v>1.6E-2</v>
      </c>
      <c r="E2315" s="62">
        <v>56018</v>
      </c>
      <c r="F2315" s="63">
        <v>3.2300000000000002E-2</v>
      </c>
      <c r="G2315" s="62">
        <v>48726</v>
      </c>
      <c r="H2315" s="64">
        <v>0.98399999999999999</v>
      </c>
      <c r="I2315" s="62">
        <v>1677742</v>
      </c>
      <c r="J2315" s="65">
        <v>0.9677</v>
      </c>
    </row>
    <row r="2316" spans="1:10" ht="21" customHeight="1">
      <c r="A2316" s="3" t="s">
        <v>12</v>
      </c>
      <c r="B2316" s="103">
        <v>11210</v>
      </c>
      <c r="C2316" s="62">
        <v>2962</v>
      </c>
      <c r="D2316" s="61">
        <v>0.26419999999999999</v>
      </c>
      <c r="E2316" s="62">
        <v>2488774</v>
      </c>
      <c r="F2316" s="63">
        <v>0.44440000000000002</v>
      </c>
      <c r="G2316" s="62">
        <v>8248</v>
      </c>
      <c r="H2316" s="64">
        <v>0.73580000000000001</v>
      </c>
      <c r="I2316" s="62">
        <v>3111694</v>
      </c>
      <c r="J2316" s="65">
        <v>0.55559999999999998</v>
      </c>
    </row>
    <row r="2317" spans="1:10">
      <c r="A2317" s="3" t="s">
        <v>13</v>
      </c>
      <c r="B2317" s="103">
        <v>426</v>
      </c>
      <c r="C2317" s="57">
        <v>344</v>
      </c>
      <c r="D2317" s="61">
        <v>0.8075</v>
      </c>
      <c r="E2317" s="62">
        <v>7547038</v>
      </c>
      <c r="F2317" s="63">
        <v>0.9446</v>
      </c>
      <c r="G2317" s="57">
        <v>82</v>
      </c>
      <c r="H2317" s="64">
        <v>0.1925</v>
      </c>
      <c r="I2317" s="62">
        <v>442773</v>
      </c>
      <c r="J2317" s="65">
        <v>5.5399999999999998E-2</v>
      </c>
    </row>
    <row r="2318" spans="1:10" ht="15.75" thickBot="1">
      <c r="A2318" s="3" t="s">
        <v>181</v>
      </c>
      <c r="B2318" s="103">
        <v>432</v>
      </c>
      <c r="C2318" s="105">
        <v>22</v>
      </c>
      <c r="D2318" s="106">
        <v>5.0900000000000001E-2</v>
      </c>
      <c r="E2318" s="62">
        <v>28074</v>
      </c>
      <c r="F2318" s="66">
        <v>0.64129999999999998</v>
      </c>
      <c r="G2318" s="50">
        <v>410</v>
      </c>
      <c r="H2318" s="68">
        <v>0.94910000000000005</v>
      </c>
      <c r="I2318" s="62">
        <v>15701</v>
      </c>
      <c r="J2318" s="104">
        <v>0.35870000000000002</v>
      </c>
    </row>
    <row r="2319" spans="1:10" ht="17.25" thickTop="1" thickBot="1">
      <c r="A2319" s="34" t="s">
        <v>175</v>
      </c>
      <c r="B2319" s="84">
        <f>SUM(B2314:B2318)</f>
        <v>590824</v>
      </c>
      <c r="C2319" s="74">
        <f>SUM(C2314:C2318)</f>
        <v>6072</v>
      </c>
      <c r="D2319" s="107">
        <v>1.03E-2</v>
      </c>
      <c r="E2319" s="74">
        <f>SUM(E2314:E2318)</f>
        <v>10153293</v>
      </c>
      <c r="F2319" s="73">
        <v>0.3881</v>
      </c>
      <c r="G2319" s="74">
        <f>SUM(G2314:G2318)</f>
        <v>584752</v>
      </c>
      <c r="H2319" s="75">
        <v>0.98970000000000002</v>
      </c>
      <c r="I2319" s="74">
        <f>SUM(I2314:I2318)</f>
        <v>16010828</v>
      </c>
      <c r="J2319" s="76">
        <v>0.6119</v>
      </c>
    </row>
    <row r="2320" spans="1:10" ht="17.25" thickTop="1" thickBot="1">
      <c r="A2320" s="1" t="s">
        <v>248</v>
      </c>
      <c r="B2320" s="97"/>
      <c r="C2320" s="164" t="s">
        <v>179</v>
      </c>
      <c r="D2320" s="166"/>
      <c r="E2320" s="166"/>
      <c r="F2320" s="167"/>
      <c r="G2320" s="168" t="s">
        <v>180</v>
      </c>
      <c r="H2320" s="166"/>
      <c r="I2320" s="166"/>
      <c r="J2320" s="167"/>
    </row>
    <row r="2321" spans="1:10" ht="15.75" thickTop="1">
      <c r="B2321" s="42" t="s">
        <v>4</v>
      </c>
      <c r="C2321" s="43" t="s">
        <v>5</v>
      </c>
      <c r="D2321" s="44"/>
      <c r="E2321" s="169" t="s">
        <v>6</v>
      </c>
      <c r="F2321" s="170"/>
      <c r="G2321" s="43" t="s">
        <v>7</v>
      </c>
      <c r="H2321" s="46"/>
      <c r="I2321" s="169" t="s">
        <v>6</v>
      </c>
      <c r="J2321" s="171"/>
    </row>
    <row r="2322" spans="1:10" ht="15.75" thickBot="1">
      <c r="B2322" s="49" t="s">
        <v>8</v>
      </c>
      <c r="C2322" s="50" t="s">
        <v>8</v>
      </c>
      <c r="D2322" s="51" t="s">
        <v>9</v>
      </c>
      <c r="E2322" s="50" t="s">
        <v>8</v>
      </c>
      <c r="F2322" s="52" t="s">
        <v>9</v>
      </c>
      <c r="G2322" s="53" t="s">
        <v>8</v>
      </c>
      <c r="H2322" s="54" t="s">
        <v>9</v>
      </c>
      <c r="I2322" s="53" t="s">
        <v>8</v>
      </c>
      <c r="J2322" s="55" t="s">
        <v>9</v>
      </c>
    </row>
    <row r="2323" spans="1:10" ht="15.75" thickTop="1">
      <c r="C2323" s="43"/>
      <c r="E2323" s="57"/>
      <c r="F2323" s="58"/>
      <c r="G2323" s="57"/>
      <c r="I2323" s="57"/>
    </row>
    <row r="2324" spans="1:10">
      <c r="A2324" s="3" t="s">
        <v>10</v>
      </c>
      <c r="B2324" s="103">
        <v>528834</v>
      </c>
      <c r="C2324" s="62">
        <v>1911</v>
      </c>
      <c r="D2324" s="61">
        <v>3.5999999999999999E-3</v>
      </c>
      <c r="E2324" s="62">
        <v>37842</v>
      </c>
      <c r="F2324" s="63">
        <v>3.0999999999999999E-3</v>
      </c>
      <c r="G2324" s="62">
        <v>526923</v>
      </c>
      <c r="H2324" s="64">
        <v>0.99639999999999995</v>
      </c>
      <c r="I2324" s="62">
        <v>12304802</v>
      </c>
      <c r="J2324" s="65">
        <v>0.99690000000000001</v>
      </c>
    </row>
    <row r="2325" spans="1:10">
      <c r="A2325" s="3" t="s">
        <v>11</v>
      </c>
      <c r="B2325" s="103">
        <v>49446</v>
      </c>
      <c r="C2325" s="57">
        <v>697</v>
      </c>
      <c r="D2325" s="61">
        <v>1.41E-2</v>
      </c>
      <c r="E2325" s="62">
        <v>44497</v>
      </c>
      <c r="F2325" s="63">
        <v>2.46E-2</v>
      </c>
      <c r="G2325" s="62">
        <v>48749</v>
      </c>
      <c r="H2325" s="64">
        <v>0.9859</v>
      </c>
      <c r="I2325" s="62">
        <v>1761569</v>
      </c>
      <c r="J2325" s="65">
        <v>0.97540000000000004</v>
      </c>
    </row>
    <row r="2326" spans="1:10">
      <c r="A2326" s="3" t="s">
        <v>12</v>
      </c>
      <c r="B2326" s="103">
        <v>11226</v>
      </c>
      <c r="C2326" s="62">
        <v>2941</v>
      </c>
      <c r="D2326" s="61">
        <v>0.26200000000000001</v>
      </c>
      <c r="E2326" s="62">
        <v>2599459</v>
      </c>
      <c r="F2326" s="63">
        <v>0.441</v>
      </c>
      <c r="G2326" s="62">
        <v>8285</v>
      </c>
      <c r="H2326" s="64">
        <v>0.73799999999999999</v>
      </c>
      <c r="I2326" s="62">
        <v>3294921</v>
      </c>
      <c r="J2326" s="65">
        <v>0.55900000000000005</v>
      </c>
    </row>
    <row r="2327" spans="1:10" ht="21" customHeight="1">
      <c r="A2327" s="3" t="s">
        <v>13</v>
      </c>
      <c r="B2327" s="103">
        <v>427</v>
      </c>
      <c r="C2327" s="57">
        <v>345</v>
      </c>
      <c r="D2327" s="61">
        <v>0.80800000000000005</v>
      </c>
      <c r="E2327" s="62">
        <v>7993075</v>
      </c>
      <c r="F2327" s="63">
        <v>0.94510000000000005</v>
      </c>
      <c r="G2327" s="57">
        <v>82</v>
      </c>
      <c r="H2327" s="64">
        <v>0.192</v>
      </c>
      <c r="I2327" s="62">
        <v>464184</v>
      </c>
      <c r="J2327" s="65">
        <v>5.4899999999999997E-2</v>
      </c>
    </row>
    <row r="2328" spans="1:10" ht="15.75" thickBot="1">
      <c r="A2328" s="3" t="s">
        <v>181</v>
      </c>
      <c r="B2328" s="103">
        <v>439</v>
      </c>
      <c r="C2328" s="105">
        <v>22</v>
      </c>
      <c r="D2328" s="106">
        <v>5.0099999999999999E-2</v>
      </c>
      <c r="E2328" s="62">
        <v>30713</v>
      </c>
      <c r="F2328" s="66">
        <v>0.62709999999999999</v>
      </c>
      <c r="G2328" s="50">
        <v>417</v>
      </c>
      <c r="H2328" s="68">
        <v>0.94989999999999997</v>
      </c>
      <c r="I2328" s="62">
        <v>18261</v>
      </c>
      <c r="J2328" s="104">
        <v>0.37290000000000001</v>
      </c>
    </row>
    <row r="2329" spans="1:10" ht="17.25" thickTop="1" thickBot="1">
      <c r="A2329" s="34" t="s">
        <v>175</v>
      </c>
      <c r="B2329" s="84">
        <f>SUM(B2324:B2328)</f>
        <v>590372</v>
      </c>
      <c r="C2329" s="74">
        <f>SUM(C2324:C2328)</f>
        <v>5916</v>
      </c>
      <c r="D2329" s="107">
        <v>0.01</v>
      </c>
      <c r="E2329" s="74">
        <f>SUM(E2324:E2328)</f>
        <v>10705586</v>
      </c>
      <c r="F2329" s="73">
        <v>0.375</v>
      </c>
      <c r="G2329" s="74">
        <f>SUM(G2324:G2328)</f>
        <v>584456</v>
      </c>
      <c r="H2329" s="75">
        <v>0.99</v>
      </c>
      <c r="I2329" s="74">
        <f>SUM(I2324:I2328)</f>
        <v>17843737</v>
      </c>
      <c r="J2329" s="76">
        <v>0.625</v>
      </c>
    </row>
    <row r="2330" spans="1:10" ht="16.5" thickBot="1">
      <c r="A2330" s="22"/>
      <c r="B2330" s="111" t="s">
        <v>249</v>
      </c>
      <c r="C2330" s="22"/>
      <c r="D2330" s="22"/>
      <c r="E2330" s="22"/>
      <c r="F2330" s="22"/>
      <c r="G2330" s="22"/>
      <c r="H2330" s="22"/>
      <c r="I2330" s="22"/>
      <c r="J2330" s="112"/>
    </row>
    <row r="2331" spans="1:10" ht="17.25" thickTop="1" thickBot="1">
      <c r="A2331" s="1" t="s">
        <v>250</v>
      </c>
      <c r="B2331" s="97"/>
      <c r="C2331" s="113" t="s">
        <v>179</v>
      </c>
      <c r="D2331" s="114"/>
      <c r="E2331" s="114"/>
      <c r="F2331" s="115"/>
      <c r="G2331" s="114" t="s">
        <v>180</v>
      </c>
      <c r="H2331" s="114"/>
      <c r="I2331" s="114"/>
      <c r="J2331" s="115"/>
    </row>
    <row r="2332" spans="1:10" ht="15.75" thickTop="1">
      <c r="B2332" s="42" t="s">
        <v>4</v>
      </c>
      <c r="C2332" s="43" t="s">
        <v>5</v>
      </c>
      <c r="D2332" s="44"/>
      <c r="E2332" s="169" t="s">
        <v>6</v>
      </c>
      <c r="F2332" s="170"/>
      <c r="G2332" s="43" t="s">
        <v>7</v>
      </c>
      <c r="H2332" s="46"/>
      <c r="I2332" s="169" t="s">
        <v>6</v>
      </c>
      <c r="J2332" s="171"/>
    </row>
    <row r="2333" spans="1:10" ht="15.75" thickBot="1">
      <c r="B2333" s="49" t="s">
        <v>8</v>
      </c>
      <c r="C2333" s="50" t="s">
        <v>8</v>
      </c>
      <c r="D2333" s="51" t="s">
        <v>9</v>
      </c>
      <c r="E2333" s="50" t="s">
        <v>8</v>
      </c>
      <c r="F2333" s="52" t="s">
        <v>9</v>
      </c>
      <c r="G2333" s="53" t="s">
        <v>8</v>
      </c>
      <c r="H2333" s="54" t="s">
        <v>9</v>
      </c>
      <c r="I2333" s="53" t="s">
        <v>8</v>
      </c>
      <c r="J2333" s="55" t="s">
        <v>9</v>
      </c>
    </row>
    <row r="2334" spans="1:10" ht="15.75" thickTop="1">
      <c r="C2334" s="43"/>
      <c r="E2334" s="57"/>
      <c r="F2334" s="58"/>
      <c r="G2334" s="57"/>
      <c r="I2334" s="57"/>
    </row>
    <row r="2335" spans="1:10">
      <c r="A2335" s="3" t="s">
        <v>10</v>
      </c>
      <c r="B2335" s="103">
        <v>527953</v>
      </c>
      <c r="C2335" s="62">
        <v>1883</v>
      </c>
      <c r="D2335" s="61">
        <v>3.5999999999999999E-3</v>
      </c>
      <c r="E2335" s="62">
        <v>33763</v>
      </c>
      <c r="F2335" s="63">
        <v>3.0000000000000001E-3</v>
      </c>
      <c r="G2335" s="62">
        <v>526070</v>
      </c>
      <c r="H2335" s="64">
        <v>0.99639999999999995</v>
      </c>
      <c r="I2335" s="62">
        <v>11299131</v>
      </c>
      <c r="J2335" s="65">
        <v>0.997</v>
      </c>
    </row>
    <row r="2336" spans="1:10">
      <c r="A2336" s="3" t="s">
        <v>11</v>
      </c>
      <c r="B2336" s="103">
        <v>49405</v>
      </c>
      <c r="C2336" s="57">
        <v>698</v>
      </c>
      <c r="D2336" s="61">
        <v>1.41E-2</v>
      </c>
      <c r="E2336" s="62">
        <v>40082</v>
      </c>
      <c r="F2336" s="63">
        <v>2.3599999999999999E-2</v>
      </c>
      <c r="G2336" s="62">
        <v>48707</v>
      </c>
      <c r="H2336" s="64">
        <v>0.9859</v>
      </c>
      <c r="I2336" s="62">
        <v>1659100</v>
      </c>
      <c r="J2336" s="65">
        <v>0.97640000000000005</v>
      </c>
    </row>
    <row r="2337" spans="1:10">
      <c r="A2337" s="3" t="s">
        <v>12</v>
      </c>
      <c r="B2337" s="103">
        <v>11222</v>
      </c>
      <c r="C2337" s="62">
        <v>2914</v>
      </c>
      <c r="D2337" s="61">
        <v>0.25969999999999999</v>
      </c>
      <c r="E2337" s="62">
        <v>2337769</v>
      </c>
      <c r="F2337" s="63">
        <v>0.436</v>
      </c>
      <c r="G2337" s="62">
        <v>8308</v>
      </c>
      <c r="H2337" s="64">
        <v>0.74029999999999996</v>
      </c>
      <c r="I2337" s="62">
        <v>3024034</v>
      </c>
      <c r="J2337" s="65">
        <v>0.56399999999999995</v>
      </c>
    </row>
    <row r="2338" spans="1:10" ht="21" customHeight="1">
      <c r="A2338" s="3" t="s">
        <v>13</v>
      </c>
      <c r="B2338" s="103">
        <v>432</v>
      </c>
      <c r="C2338" s="57">
        <v>346</v>
      </c>
      <c r="D2338" s="61">
        <v>0.80089999999999995</v>
      </c>
      <c r="E2338" s="62">
        <v>7426290</v>
      </c>
      <c r="F2338" s="63">
        <v>0.9456</v>
      </c>
      <c r="G2338" s="57">
        <v>86</v>
      </c>
      <c r="H2338" s="64">
        <v>0.1991</v>
      </c>
      <c r="I2338" s="62">
        <v>426895</v>
      </c>
      <c r="J2338" s="65">
        <v>5.4399999999999997E-2</v>
      </c>
    </row>
    <row r="2339" spans="1:10" ht="15.75" thickBot="1">
      <c r="A2339" s="3" t="s">
        <v>181</v>
      </c>
      <c r="B2339" s="103">
        <v>443</v>
      </c>
      <c r="C2339" s="105">
        <v>23</v>
      </c>
      <c r="D2339" s="106">
        <v>5.1900000000000002E-2</v>
      </c>
      <c r="E2339" s="62">
        <v>24705</v>
      </c>
      <c r="F2339" s="66">
        <v>0.59119999999999995</v>
      </c>
      <c r="G2339" s="50">
        <v>420</v>
      </c>
      <c r="H2339" s="68">
        <v>0.94810000000000005</v>
      </c>
      <c r="I2339" s="62">
        <v>17085</v>
      </c>
      <c r="J2339" s="104">
        <v>0.4088</v>
      </c>
    </row>
    <row r="2340" spans="1:10" ht="17.25" thickTop="1" thickBot="1">
      <c r="A2340" s="34" t="s">
        <v>175</v>
      </c>
      <c r="B2340" s="84">
        <f>SUM(B2335:B2339)</f>
        <v>589455</v>
      </c>
      <c r="C2340" s="74">
        <f>SUM(C2335:C2339)</f>
        <v>5864</v>
      </c>
      <c r="D2340" s="107">
        <v>9.9000000000000008E-3</v>
      </c>
      <c r="E2340" s="74">
        <f>SUM(E2335:E2339)</f>
        <v>9862609</v>
      </c>
      <c r="F2340" s="73">
        <v>0.37519999999999998</v>
      </c>
      <c r="G2340" s="74">
        <f>SUM(G2335:G2339)</f>
        <v>583591</v>
      </c>
      <c r="H2340" s="75">
        <v>0.99009999999999998</v>
      </c>
      <c r="I2340" s="74">
        <f>SUM(I2335:I2339)</f>
        <v>16426245</v>
      </c>
      <c r="J2340" s="76">
        <v>0.62480000000000002</v>
      </c>
    </row>
    <row r="2341" spans="1:10" ht="16.5" thickBot="1">
      <c r="A2341" s="22"/>
      <c r="B2341" s="111" t="s">
        <v>249</v>
      </c>
      <c r="C2341" s="22"/>
      <c r="D2341" s="22"/>
      <c r="E2341" s="22"/>
      <c r="F2341" s="22"/>
      <c r="G2341" s="22"/>
      <c r="H2341" s="22"/>
      <c r="I2341" s="22"/>
      <c r="J2341" s="112"/>
    </row>
    <row r="2342" spans="1:10" ht="17.25" thickTop="1" thickBot="1">
      <c r="A2342" s="1" t="s">
        <v>251</v>
      </c>
      <c r="B2342" s="97"/>
      <c r="C2342" s="113" t="s">
        <v>179</v>
      </c>
      <c r="D2342" s="114"/>
      <c r="E2342" s="114"/>
      <c r="F2342" s="115"/>
      <c r="G2342" s="114" t="s">
        <v>180</v>
      </c>
      <c r="H2342" s="114"/>
      <c r="I2342" s="114"/>
      <c r="J2342" s="115"/>
    </row>
    <row r="2343" spans="1:10" ht="15.75" thickTop="1">
      <c r="B2343" s="42" t="s">
        <v>4</v>
      </c>
      <c r="C2343" s="43" t="s">
        <v>5</v>
      </c>
      <c r="D2343" s="44"/>
      <c r="E2343" s="169" t="s">
        <v>6</v>
      </c>
      <c r="F2343" s="170"/>
      <c r="G2343" s="43" t="s">
        <v>7</v>
      </c>
      <c r="H2343" s="46"/>
      <c r="I2343" s="169" t="s">
        <v>6</v>
      </c>
      <c r="J2343" s="171"/>
    </row>
    <row r="2344" spans="1:10" ht="15.75" thickBot="1">
      <c r="B2344" s="49" t="s">
        <v>8</v>
      </c>
      <c r="C2344" s="50" t="s">
        <v>8</v>
      </c>
      <c r="D2344" s="51" t="s">
        <v>9</v>
      </c>
      <c r="E2344" s="50" t="s">
        <v>8</v>
      </c>
      <c r="F2344" s="52" t="s">
        <v>9</v>
      </c>
      <c r="G2344" s="53" t="s">
        <v>8</v>
      </c>
      <c r="H2344" s="54" t="s">
        <v>9</v>
      </c>
      <c r="I2344" s="53" t="s">
        <v>8</v>
      </c>
      <c r="J2344" s="55" t="s">
        <v>9</v>
      </c>
    </row>
    <row r="2345" spans="1:10" ht="15.75" thickTop="1">
      <c r="C2345" s="43"/>
      <c r="E2345" s="57"/>
      <c r="F2345" s="58"/>
      <c r="G2345" s="57"/>
      <c r="I2345" s="57"/>
    </row>
    <row r="2346" spans="1:10">
      <c r="A2346" s="3" t="s">
        <v>10</v>
      </c>
      <c r="B2346" s="103">
        <v>527064</v>
      </c>
      <c r="C2346" s="62">
        <v>1864</v>
      </c>
      <c r="D2346" s="61">
        <v>3.5000000000000001E-3</v>
      </c>
      <c r="E2346" s="62">
        <v>29671</v>
      </c>
      <c r="F2346" s="63">
        <v>3.0000000000000001E-3</v>
      </c>
      <c r="G2346" s="62">
        <v>525200</v>
      </c>
      <c r="H2346" s="64">
        <v>0.99650000000000005</v>
      </c>
      <c r="I2346" s="62">
        <v>9975509</v>
      </c>
      <c r="J2346" s="65">
        <v>0.997</v>
      </c>
    </row>
    <row r="2347" spans="1:10">
      <c r="A2347" s="3" t="s">
        <v>11</v>
      </c>
      <c r="B2347" s="103">
        <v>49373</v>
      </c>
      <c r="C2347" s="57">
        <v>662</v>
      </c>
      <c r="D2347" s="61">
        <v>1.34E-2</v>
      </c>
      <c r="E2347" s="62">
        <v>33483</v>
      </c>
      <c r="F2347" s="63">
        <v>2.1499999999999998E-2</v>
      </c>
      <c r="G2347" s="62">
        <v>48711</v>
      </c>
      <c r="H2347" s="64">
        <v>0.98660000000000003</v>
      </c>
      <c r="I2347" s="62">
        <v>1526511</v>
      </c>
      <c r="J2347" s="65">
        <v>0.97850000000000004</v>
      </c>
    </row>
    <row r="2348" spans="1:10">
      <c r="A2348" s="3" t="s">
        <v>12</v>
      </c>
      <c r="B2348" s="103">
        <v>11237</v>
      </c>
      <c r="C2348" s="62">
        <v>2765</v>
      </c>
      <c r="D2348" s="61">
        <v>0.24610000000000001</v>
      </c>
      <c r="E2348" s="62">
        <v>2229789</v>
      </c>
      <c r="F2348" s="63">
        <v>0.41110000000000002</v>
      </c>
      <c r="G2348" s="62">
        <v>8472</v>
      </c>
      <c r="H2348" s="64">
        <v>0.75390000000000001</v>
      </c>
      <c r="I2348" s="62">
        <v>3193807</v>
      </c>
      <c r="J2348" s="65">
        <v>0.58889999999999998</v>
      </c>
    </row>
    <row r="2349" spans="1:10" ht="21" customHeight="1">
      <c r="A2349" s="3" t="s">
        <v>13</v>
      </c>
      <c r="B2349" s="103">
        <v>444</v>
      </c>
      <c r="C2349" s="57">
        <v>357</v>
      </c>
      <c r="D2349" s="61">
        <v>0.80410000000000004</v>
      </c>
      <c r="E2349" s="62">
        <v>7259294</v>
      </c>
      <c r="F2349" s="63">
        <v>0.90410000000000001</v>
      </c>
      <c r="G2349" s="57">
        <v>87</v>
      </c>
      <c r="H2349" s="64">
        <v>0.19589999999999999</v>
      </c>
      <c r="I2349" s="62">
        <v>769993</v>
      </c>
      <c r="J2349" s="65">
        <v>9.5899999999999999E-2</v>
      </c>
    </row>
    <row r="2350" spans="1:10" ht="15.75" thickBot="1">
      <c r="A2350" s="3" t="s">
        <v>181</v>
      </c>
      <c r="B2350" s="103">
        <v>441</v>
      </c>
      <c r="C2350" s="105">
        <v>22</v>
      </c>
      <c r="D2350" s="106">
        <v>4.99E-2</v>
      </c>
      <c r="E2350" s="62">
        <v>28826</v>
      </c>
      <c r="F2350" s="66">
        <v>0.58450000000000002</v>
      </c>
      <c r="G2350" s="50">
        <v>419</v>
      </c>
      <c r="H2350" s="68">
        <v>0.95009999999999994</v>
      </c>
      <c r="I2350" s="62">
        <v>20488</v>
      </c>
      <c r="J2350" s="104">
        <v>0.41549999999999998</v>
      </c>
    </row>
    <row r="2351" spans="1:10" ht="17.25" thickTop="1" thickBot="1">
      <c r="A2351" s="34" t="s">
        <v>175</v>
      </c>
      <c r="B2351" s="84">
        <f>SUM(B2346:B2350)</f>
        <v>588559</v>
      </c>
      <c r="C2351" s="74">
        <f>SUM(C2346:C2350)</f>
        <v>5670</v>
      </c>
      <c r="D2351" s="107">
        <v>9.5999999999999992E-3</v>
      </c>
      <c r="E2351" s="74">
        <f>SUM(E2346:E2350)</f>
        <v>9581063</v>
      </c>
      <c r="F2351" s="73">
        <v>0.38219999999999998</v>
      </c>
      <c r="G2351" s="74">
        <f>SUM(G2346:G2350)</f>
        <v>582889</v>
      </c>
      <c r="H2351" s="75">
        <v>0.99039999999999995</v>
      </c>
      <c r="I2351" s="74">
        <f>SUM(I2346:I2350)</f>
        <v>15486308</v>
      </c>
      <c r="J2351" s="76">
        <v>0.61780000000000002</v>
      </c>
    </row>
    <row r="2352" spans="1:10" ht="16.5" thickBot="1">
      <c r="A2352" s="22"/>
      <c r="B2352" s="111" t="s">
        <v>249</v>
      </c>
      <c r="C2352" s="22"/>
      <c r="D2352" s="22"/>
      <c r="E2352" s="22"/>
      <c r="F2352" s="22"/>
      <c r="G2352" s="22"/>
      <c r="H2352" s="22"/>
      <c r="I2352" s="22"/>
      <c r="J2352" s="112"/>
    </row>
    <row r="2353" spans="1:10" ht="17.25" thickTop="1" thickBot="1">
      <c r="A2353" s="1" t="s">
        <v>252</v>
      </c>
      <c r="B2353" s="97"/>
      <c r="C2353" s="113" t="s">
        <v>179</v>
      </c>
      <c r="D2353" s="114"/>
      <c r="E2353" s="114"/>
      <c r="F2353" s="115"/>
      <c r="G2353" s="114" t="s">
        <v>180</v>
      </c>
      <c r="H2353" s="114"/>
      <c r="I2353" s="114"/>
      <c r="J2353" s="115"/>
    </row>
    <row r="2354" spans="1:10" ht="15.75" thickTop="1">
      <c r="B2354" s="42" t="s">
        <v>4</v>
      </c>
      <c r="C2354" s="43" t="s">
        <v>5</v>
      </c>
      <c r="D2354" s="44"/>
      <c r="E2354" s="169" t="s">
        <v>6</v>
      </c>
      <c r="F2354" s="170"/>
      <c r="G2354" s="43" t="s">
        <v>7</v>
      </c>
      <c r="H2354" s="46"/>
      <c r="I2354" s="169" t="s">
        <v>6</v>
      </c>
      <c r="J2354" s="171"/>
    </row>
    <row r="2355" spans="1:10" ht="15.75" thickBot="1">
      <c r="B2355" s="49" t="s">
        <v>8</v>
      </c>
      <c r="C2355" s="50" t="s">
        <v>8</v>
      </c>
      <c r="D2355" s="51" t="s">
        <v>9</v>
      </c>
      <c r="E2355" s="50" t="s">
        <v>8</v>
      </c>
      <c r="F2355" s="52" t="s">
        <v>9</v>
      </c>
      <c r="G2355" s="53" t="s">
        <v>8</v>
      </c>
      <c r="H2355" s="54" t="s">
        <v>9</v>
      </c>
      <c r="I2355" s="53" t="s">
        <v>8</v>
      </c>
      <c r="J2355" s="55" t="s">
        <v>9</v>
      </c>
    </row>
    <row r="2356" spans="1:10" ht="15.75" thickTop="1">
      <c r="C2356" s="43"/>
      <c r="E2356" s="57"/>
      <c r="F2356" s="58"/>
      <c r="G2356" s="57"/>
      <c r="I2356" s="57"/>
    </row>
    <row r="2357" spans="1:10">
      <c r="A2357" s="3" t="s">
        <v>10</v>
      </c>
      <c r="B2357" s="103">
        <v>526343</v>
      </c>
      <c r="C2357" s="62">
        <v>1837</v>
      </c>
      <c r="D2357" s="61">
        <v>3.5000000000000001E-3</v>
      </c>
      <c r="E2357" s="62">
        <v>27275</v>
      </c>
      <c r="F2357" s="63">
        <v>2.8999999999999998E-3</v>
      </c>
      <c r="G2357" s="62">
        <v>524506</v>
      </c>
      <c r="H2357" s="64">
        <v>0.99650000000000005</v>
      </c>
      <c r="I2357" s="62">
        <v>9224192</v>
      </c>
      <c r="J2357" s="65">
        <v>0.99709999999999999</v>
      </c>
    </row>
    <row r="2358" spans="1:10">
      <c r="A2358" s="3" t="s">
        <v>11</v>
      </c>
      <c r="B2358" s="103">
        <v>49328</v>
      </c>
      <c r="C2358" s="57">
        <v>653</v>
      </c>
      <c r="D2358" s="61">
        <v>1.32E-2</v>
      </c>
      <c r="E2358" s="62">
        <v>31295</v>
      </c>
      <c r="F2358" s="63">
        <v>2.06E-2</v>
      </c>
      <c r="G2358" s="62">
        <v>48675</v>
      </c>
      <c r="H2358" s="64">
        <v>0.98680000000000001</v>
      </c>
      <c r="I2358" s="62">
        <v>1489379</v>
      </c>
      <c r="J2358" s="65">
        <v>0.97940000000000005</v>
      </c>
    </row>
    <row r="2359" spans="1:10">
      <c r="A2359" s="3" t="s">
        <v>12</v>
      </c>
      <c r="B2359" s="103">
        <v>11283</v>
      </c>
      <c r="C2359" s="62">
        <v>2733</v>
      </c>
      <c r="D2359" s="61">
        <v>0.2422</v>
      </c>
      <c r="E2359" s="62">
        <v>2157920</v>
      </c>
      <c r="F2359" s="63">
        <v>0.39250000000000002</v>
      </c>
      <c r="G2359" s="62">
        <v>8550</v>
      </c>
      <c r="H2359" s="64">
        <v>0.75780000000000003</v>
      </c>
      <c r="I2359" s="62">
        <v>3340072</v>
      </c>
      <c r="J2359" s="65">
        <v>0.60750000000000004</v>
      </c>
    </row>
    <row r="2360" spans="1:10" ht="21" customHeight="1">
      <c r="A2360" s="3" t="s">
        <v>13</v>
      </c>
      <c r="B2360" s="103">
        <v>448</v>
      </c>
      <c r="C2360" s="57">
        <v>355</v>
      </c>
      <c r="D2360" s="61">
        <v>0.79239999999999999</v>
      </c>
      <c r="E2360" s="62">
        <v>8056476</v>
      </c>
      <c r="F2360" s="63">
        <v>0.90939999999999999</v>
      </c>
      <c r="G2360" s="57">
        <v>93</v>
      </c>
      <c r="H2360" s="64">
        <v>0.20760000000000001</v>
      </c>
      <c r="I2360" s="62">
        <v>802189</v>
      </c>
      <c r="J2360" s="65">
        <v>9.06E-2</v>
      </c>
    </row>
    <row r="2361" spans="1:10" ht="15.75" thickBot="1">
      <c r="A2361" s="3" t="s">
        <v>181</v>
      </c>
      <c r="B2361" s="103">
        <v>442</v>
      </c>
      <c r="C2361" s="105">
        <v>22</v>
      </c>
      <c r="D2361" s="106">
        <v>4.9799999999999997E-2</v>
      </c>
      <c r="E2361" s="62">
        <v>20478</v>
      </c>
      <c r="F2361" s="66">
        <v>0.54520000000000002</v>
      </c>
      <c r="G2361" s="50">
        <v>420</v>
      </c>
      <c r="H2361" s="68">
        <v>0.95020000000000004</v>
      </c>
      <c r="I2361" s="62">
        <v>17083</v>
      </c>
      <c r="J2361" s="104">
        <v>0.45479999999999998</v>
      </c>
    </row>
    <row r="2362" spans="1:10" ht="17.25" thickTop="1" thickBot="1">
      <c r="A2362" s="34" t="s">
        <v>175</v>
      </c>
      <c r="B2362" s="84">
        <f>SUM(B2357:B2361)</f>
        <v>587844</v>
      </c>
      <c r="C2362" s="74">
        <f>SUM(C2357:C2361)</f>
        <v>5600</v>
      </c>
      <c r="D2362" s="107">
        <v>9.4999999999999998E-3</v>
      </c>
      <c r="E2362" s="74">
        <f>SUM(E2357:E2361)</f>
        <v>10293444</v>
      </c>
      <c r="F2362" s="73">
        <v>0.40899999999999997</v>
      </c>
      <c r="G2362" s="74">
        <f>SUM(G2357:G2361)</f>
        <v>582244</v>
      </c>
      <c r="H2362" s="75">
        <v>0.99050000000000005</v>
      </c>
      <c r="I2362" s="74">
        <f>SUM(I2357:I2361)</f>
        <v>14872915</v>
      </c>
      <c r="J2362" s="76">
        <v>0.59099999999999997</v>
      </c>
    </row>
    <row r="2363" spans="1:10" ht="16.5" thickBot="1">
      <c r="A2363" s="22"/>
      <c r="B2363" s="111" t="s">
        <v>249</v>
      </c>
      <c r="C2363" s="22"/>
      <c r="D2363" s="22"/>
      <c r="E2363" s="22"/>
      <c r="F2363" s="22"/>
      <c r="G2363" s="22"/>
      <c r="H2363" s="22"/>
      <c r="I2363" s="22"/>
      <c r="J2363" s="112"/>
    </row>
    <row r="2364" spans="1:10" ht="17.25" thickTop="1" thickBot="1">
      <c r="A2364" s="1" t="s">
        <v>253</v>
      </c>
      <c r="B2364" s="97"/>
      <c r="C2364" s="113" t="s">
        <v>179</v>
      </c>
      <c r="D2364" s="114"/>
      <c r="E2364" s="114"/>
      <c r="F2364" s="115"/>
      <c r="G2364" s="114" t="s">
        <v>180</v>
      </c>
      <c r="H2364" s="114"/>
      <c r="I2364" s="114"/>
      <c r="J2364" s="115"/>
    </row>
    <row r="2365" spans="1:10" ht="15.75" thickTop="1">
      <c r="B2365" s="42" t="s">
        <v>4</v>
      </c>
      <c r="C2365" s="43" t="s">
        <v>5</v>
      </c>
      <c r="D2365" s="44"/>
      <c r="E2365" s="169" t="s">
        <v>6</v>
      </c>
      <c r="F2365" s="170"/>
      <c r="G2365" s="43" t="s">
        <v>7</v>
      </c>
      <c r="H2365" s="46"/>
      <c r="I2365" s="169" t="s">
        <v>6</v>
      </c>
      <c r="J2365" s="171"/>
    </row>
    <row r="2366" spans="1:10" ht="15.75" thickBot="1">
      <c r="B2366" s="49" t="s">
        <v>8</v>
      </c>
      <c r="C2366" s="50" t="s">
        <v>8</v>
      </c>
      <c r="D2366" s="51" t="s">
        <v>9</v>
      </c>
      <c r="E2366" s="50" t="s">
        <v>8</v>
      </c>
      <c r="F2366" s="52" t="s">
        <v>9</v>
      </c>
      <c r="G2366" s="53" t="s">
        <v>8</v>
      </c>
      <c r="H2366" s="54" t="s">
        <v>9</v>
      </c>
      <c r="I2366" s="53" t="s">
        <v>8</v>
      </c>
      <c r="J2366" s="55" t="s">
        <v>9</v>
      </c>
    </row>
    <row r="2367" spans="1:10" ht="15.75" thickTop="1">
      <c r="C2367" s="43"/>
      <c r="E2367" s="57"/>
      <c r="F2367" s="58"/>
      <c r="G2367" s="57"/>
      <c r="I2367" s="57"/>
    </row>
    <row r="2368" spans="1:10">
      <c r="A2368" s="3" t="s">
        <v>10</v>
      </c>
      <c r="B2368" s="103">
        <v>525587</v>
      </c>
      <c r="C2368" s="62">
        <v>1838</v>
      </c>
      <c r="D2368" s="61">
        <v>3.5000000000000001E-3</v>
      </c>
      <c r="E2368" s="62">
        <v>24964</v>
      </c>
      <c r="F2368" s="63">
        <v>2.8E-3</v>
      </c>
      <c r="G2368" s="62">
        <v>523749</v>
      </c>
      <c r="H2368" s="64">
        <v>0.99650000000000005</v>
      </c>
      <c r="I2368" s="62">
        <v>8887193</v>
      </c>
      <c r="J2368" s="65">
        <v>0.99719999999999998</v>
      </c>
    </row>
    <row r="2369" spans="1:10">
      <c r="A2369" s="3" t="s">
        <v>11</v>
      </c>
      <c r="B2369" s="103">
        <v>49275</v>
      </c>
      <c r="C2369" s="57">
        <v>641</v>
      </c>
      <c r="D2369" s="61">
        <v>1.2999999999999999E-2</v>
      </c>
      <c r="E2369" s="62">
        <v>29390</v>
      </c>
      <c r="F2369" s="63">
        <v>1.9300000000000001E-2</v>
      </c>
      <c r="G2369" s="62">
        <v>48634</v>
      </c>
      <c r="H2369" s="64">
        <v>0.98699999999999999</v>
      </c>
      <c r="I2369" s="62">
        <v>1494848</v>
      </c>
      <c r="J2369" s="65">
        <v>0.98070000000000002</v>
      </c>
    </row>
    <row r="2370" spans="1:10">
      <c r="A2370" s="3" t="s">
        <v>12</v>
      </c>
      <c r="B2370" s="103">
        <v>11310</v>
      </c>
      <c r="C2370" s="62">
        <v>2703</v>
      </c>
      <c r="D2370" s="61">
        <v>0.23899999999999999</v>
      </c>
      <c r="E2370" s="62">
        <v>2012649</v>
      </c>
      <c r="F2370" s="63">
        <v>0.371</v>
      </c>
      <c r="G2370" s="62">
        <v>8607</v>
      </c>
      <c r="H2370" s="64">
        <v>0.76100000000000001</v>
      </c>
      <c r="I2370" s="62">
        <v>3411683</v>
      </c>
      <c r="J2370" s="65">
        <v>0.629</v>
      </c>
    </row>
    <row r="2371" spans="1:10" ht="21" customHeight="1">
      <c r="A2371" s="3" t="s">
        <v>13</v>
      </c>
      <c r="B2371" s="103">
        <v>444</v>
      </c>
      <c r="C2371" s="57">
        <v>351</v>
      </c>
      <c r="D2371" s="61">
        <v>0.79049999999999998</v>
      </c>
      <c r="E2371" s="62">
        <v>7760721</v>
      </c>
      <c r="F2371" s="63">
        <v>0.91159999999999997</v>
      </c>
      <c r="G2371" s="57">
        <v>93</v>
      </c>
      <c r="H2371" s="64">
        <v>0.20949999999999999</v>
      </c>
      <c r="I2371" s="62">
        <v>752364</v>
      </c>
      <c r="J2371" s="65">
        <v>8.8400000000000006E-2</v>
      </c>
    </row>
    <row r="2372" spans="1:10" ht="15.75" thickBot="1">
      <c r="A2372" s="3" t="s">
        <v>181</v>
      </c>
      <c r="B2372" s="103">
        <v>439</v>
      </c>
      <c r="C2372" s="105">
        <v>22</v>
      </c>
      <c r="D2372" s="106">
        <v>5.0099999999999999E-2</v>
      </c>
      <c r="E2372" s="62">
        <v>16072</v>
      </c>
      <c r="F2372" s="66">
        <v>0.57840000000000003</v>
      </c>
      <c r="G2372" s="50">
        <v>417</v>
      </c>
      <c r="H2372" s="68">
        <v>0.94989999999999997</v>
      </c>
      <c r="I2372" s="62">
        <v>11713</v>
      </c>
      <c r="J2372" s="104">
        <v>0.42159999999999997</v>
      </c>
    </row>
    <row r="2373" spans="1:10" ht="17.25" thickTop="1" thickBot="1">
      <c r="A2373" s="34" t="s">
        <v>175</v>
      </c>
      <c r="B2373" s="84">
        <f>SUM(B2368:B2372)</f>
        <v>587055</v>
      </c>
      <c r="C2373" s="74">
        <f>SUM(C2368:C2372)</f>
        <v>5555</v>
      </c>
      <c r="D2373" s="107">
        <v>9.4999999999999998E-3</v>
      </c>
      <c r="E2373" s="74">
        <f>SUM(E2368:E2372)</f>
        <v>9843796</v>
      </c>
      <c r="F2373" s="73">
        <v>0.40339999999999998</v>
      </c>
      <c r="G2373" s="74">
        <f>SUM(G2368:G2372)</f>
        <v>581500</v>
      </c>
      <c r="H2373" s="75">
        <v>0.99050000000000005</v>
      </c>
      <c r="I2373" s="74">
        <f>SUM(I2368:I2372)</f>
        <v>14557801</v>
      </c>
      <c r="J2373" s="76">
        <v>0.59660000000000002</v>
      </c>
    </row>
    <row r="2374" spans="1:10" ht="16.5" thickBot="1">
      <c r="A2374" s="22"/>
      <c r="B2374" s="111" t="s">
        <v>249</v>
      </c>
      <c r="C2374" s="22"/>
      <c r="D2374" s="22"/>
      <c r="E2374" s="22"/>
      <c r="F2374" s="22"/>
      <c r="G2374" s="22"/>
      <c r="H2374" s="22"/>
      <c r="I2374" s="22"/>
      <c r="J2374" s="112"/>
    </row>
    <row r="2375" spans="1:10" ht="17.25" thickTop="1" thickBot="1">
      <c r="A2375" s="1" t="s">
        <v>254</v>
      </c>
      <c r="B2375" s="97"/>
      <c r="C2375" s="113" t="s">
        <v>179</v>
      </c>
      <c r="D2375" s="114"/>
      <c r="E2375" s="114"/>
      <c r="F2375" s="115"/>
      <c r="G2375" s="114" t="s">
        <v>180</v>
      </c>
      <c r="H2375" s="114"/>
      <c r="I2375" s="114"/>
      <c r="J2375" s="115"/>
    </row>
    <row r="2376" spans="1:10" ht="15.75" thickTop="1">
      <c r="B2376" s="42" t="s">
        <v>4</v>
      </c>
      <c r="C2376" s="43" t="s">
        <v>5</v>
      </c>
      <c r="D2376" s="44"/>
      <c r="E2376" s="169" t="s">
        <v>6</v>
      </c>
      <c r="F2376" s="170"/>
      <c r="G2376" s="43" t="s">
        <v>7</v>
      </c>
      <c r="H2376" s="46"/>
      <c r="I2376" s="169" t="s">
        <v>6</v>
      </c>
      <c r="J2376" s="171"/>
    </row>
    <row r="2377" spans="1:10" ht="15.75" thickBot="1">
      <c r="B2377" s="49" t="s">
        <v>8</v>
      </c>
      <c r="C2377" s="50" t="s">
        <v>8</v>
      </c>
      <c r="D2377" s="51" t="s">
        <v>9</v>
      </c>
      <c r="E2377" s="50" t="s">
        <v>8</v>
      </c>
      <c r="F2377" s="52" t="s">
        <v>9</v>
      </c>
      <c r="G2377" s="53" t="s">
        <v>8</v>
      </c>
      <c r="H2377" s="54" t="s">
        <v>9</v>
      </c>
      <c r="I2377" s="53" t="s">
        <v>8</v>
      </c>
      <c r="J2377" s="55" t="s">
        <v>9</v>
      </c>
    </row>
    <row r="2378" spans="1:10" ht="15.75" thickTop="1">
      <c r="C2378" s="43"/>
      <c r="E2378" s="57"/>
      <c r="F2378" s="58"/>
      <c r="G2378" s="57"/>
      <c r="I2378" s="57"/>
    </row>
    <row r="2379" spans="1:10">
      <c r="A2379" s="3" t="s">
        <v>10</v>
      </c>
      <c r="B2379" s="103">
        <v>525031</v>
      </c>
      <c r="C2379" s="62">
        <v>1809</v>
      </c>
      <c r="D2379" s="61">
        <v>3.3999999999999998E-3</v>
      </c>
      <c r="E2379" s="62">
        <v>24960</v>
      </c>
      <c r="F2379" s="63">
        <v>2.5999999999999999E-3</v>
      </c>
      <c r="G2379" s="62">
        <v>523222</v>
      </c>
      <c r="H2379" s="64">
        <v>0.99660000000000004</v>
      </c>
      <c r="I2379" s="62">
        <v>9427370</v>
      </c>
      <c r="J2379" s="65">
        <v>0.99739999999999995</v>
      </c>
    </row>
    <row r="2380" spans="1:10">
      <c r="A2380" s="3" t="s">
        <v>11</v>
      </c>
      <c r="B2380" s="103">
        <v>49258</v>
      </c>
      <c r="C2380" s="57">
        <v>625</v>
      </c>
      <c r="D2380" s="61">
        <v>1.2699999999999999E-2</v>
      </c>
      <c r="E2380" s="62">
        <v>30018</v>
      </c>
      <c r="F2380" s="63">
        <v>1.8599999999999998E-2</v>
      </c>
      <c r="G2380" s="62">
        <v>48633</v>
      </c>
      <c r="H2380" s="64">
        <v>0.98729999999999996</v>
      </c>
      <c r="I2380" s="62">
        <v>1585574</v>
      </c>
      <c r="J2380" s="65">
        <v>0.98140000000000005</v>
      </c>
    </row>
    <row r="2381" spans="1:10">
      <c r="A2381" s="3" t="s">
        <v>12</v>
      </c>
      <c r="B2381" s="103">
        <v>11283</v>
      </c>
      <c r="C2381" s="62">
        <v>2638</v>
      </c>
      <c r="D2381" s="61">
        <v>0.23380000000000001</v>
      </c>
      <c r="E2381" s="62">
        <v>1948064</v>
      </c>
      <c r="F2381" s="63">
        <v>0.35780000000000001</v>
      </c>
      <c r="G2381" s="62">
        <v>8645</v>
      </c>
      <c r="H2381" s="64">
        <v>0.76619999999999999</v>
      </c>
      <c r="I2381" s="62">
        <v>3497030</v>
      </c>
      <c r="J2381" s="65">
        <v>0.64219999999999999</v>
      </c>
    </row>
    <row r="2382" spans="1:10" ht="21" customHeight="1">
      <c r="A2382" s="3" t="s">
        <v>13</v>
      </c>
      <c r="B2382" s="103">
        <v>444</v>
      </c>
      <c r="C2382" s="57">
        <v>347</v>
      </c>
      <c r="D2382" s="61">
        <v>0.78149999999999997</v>
      </c>
      <c r="E2382" s="62">
        <v>8173196</v>
      </c>
      <c r="F2382" s="63">
        <v>0.90039999999999998</v>
      </c>
      <c r="G2382" s="57">
        <v>97</v>
      </c>
      <c r="H2382" s="64">
        <v>0.2185</v>
      </c>
      <c r="I2382" s="62">
        <v>903677</v>
      </c>
      <c r="J2382" s="65">
        <v>9.9599999999999994E-2</v>
      </c>
    </row>
    <row r="2383" spans="1:10" ht="15.75" thickBot="1">
      <c r="A2383" s="3" t="s">
        <v>181</v>
      </c>
      <c r="B2383" s="103">
        <v>439</v>
      </c>
      <c r="C2383" s="105">
        <v>22</v>
      </c>
      <c r="D2383" s="106">
        <v>5.0099999999999999E-2</v>
      </c>
      <c r="E2383" s="62">
        <v>12789</v>
      </c>
      <c r="F2383" s="66">
        <v>0.57640000000000002</v>
      </c>
      <c r="G2383" s="50">
        <v>417</v>
      </c>
      <c r="H2383" s="68">
        <v>0.94989999999999997</v>
      </c>
      <c r="I2383" s="62">
        <v>9399</v>
      </c>
      <c r="J2383" s="104">
        <v>0.42359999999999998</v>
      </c>
    </row>
    <row r="2384" spans="1:10" ht="17.25" thickTop="1" thickBot="1">
      <c r="A2384" s="34" t="s">
        <v>175</v>
      </c>
      <c r="B2384" s="84">
        <f>SUM(B2379:B2383)</f>
        <v>586455</v>
      </c>
      <c r="C2384" s="74">
        <f>SUM(C2379:C2383)</f>
        <v>5441</v>
      </c>
      <c r="D2384" s="107">
        <v>9.2999999999999992E-3</v>
      </c>
      <c r="E2384" s="74">
        <f>SUM(E2379:E2383)</f>
        <v>10189027</v>
      </c>
      <c r="F2384" s="73">
        <v>0.39779999999999999</v>
      </c>
      <c r="G2384" s="74">
        <f>SUM(G2379:G2383)</f>
        <v>581014</v>
      </c>
      <c r="H2384" s="75">
        <v>0.99070000000000003</v>
      </c>
      <c r="I2384" s="74">
        <f>SUM(I2379:I2383)</f>
        <v>15423050</v>
      </c>
      <c r="J2384" s="76">
        <v>0.60219999999999996</v>
      </c>
    </row>
    <row r="2385" spans="1:10" ht="16.5" thickBot="1">
      <c r="A2385" s="22"/>
      <c r="B2385" s="111" t="s">
        <v>249</v>
      </c>
      <c r="C2385" s="22"/>
      <c r="D2385" s="22"/>
      <c r="E2385" s="22"/>
      <c r="F2385" s="22"/>
      <c r="G2385" s="22"/>
      <c r="H2385" s="22"/>
      <c r="I2385" s="22"/>
      <c r="J2385" s="112"/>
    </row>
    <row r="2386" spans="1:10" ht="17.25" thickTop="1" thickBot="1">
      <c r="A2386" s="1" t="s">
        <v>255</v>
      </c>
      <c r="B2386" s="97"/>
      <c r="C2386" s="113" t="s">
        <v>179</v>
      </c>
      <c r="D2386" s="114"/>
      <c r="E2386" s="114"/>
      <c r="F2386" s="115"/>
      <c r="G2386" s="114" t="s">
        <v>180</v>
      </c>
      <c r="H2386" s="114"/>
      <c r="I2386" s="114"/>
      <c r="J2386" s="115"/>
    </row>
    <row r="2387" spans="1:10" ht="15.75" thickTop="1">
      <c r="B2387" s="42" t="s">
        <v>4</v>
      </c>
      <c r="C2387" s="43" t="s">
        <v>5</v>
      </c>
      <c r="D2387" s="44"/>
      <c r="E2387" s="169" t="s">
        <v>6</v>
      </c>
      <c r="F2387" s="170"/>
      <c r="G2387" s="43" t="s">
        <v>7</v>
      </c>
      <c r="H2387" s="46"/>
      <c r="I2387" s="169" t="s">
        <v>6</v>
      </c>
      <c r="J2387" s="171"/>
    </row>
    <row r="2388" spans="1:10" ht="15.75" thickBot="1">
      <c r="B2388" s="49" t="s">
        <v>8</v>
      </c>
      <c r="C2388" s="50" t="s">
        <v>8</v>
      </c>
      <c r="D2388" s="51" t="s">
        <v>9</v>
      </c>
      <c r="E2388" s="50" t="s">
        <v>8</v>
      </c>
      <c r="F2388" s="52" t="s">
        <v>9</v>
      </c>
      <c r="G2388" s="53" t="s">
        <v>8</v>
      </c>
      <c r="H2388" s="54" t="s">
        <v>9</v>
      </c>
      <c r="I2388" s="53" t="s">
        <v>8</v>
      </c>
      <c r="J2388" s="55" t="s">
        <v>9</v>
      </c>
    </row>
    <row r="2389" spans="1:10" ht="15.75" thickTop="1">
      <c r="C2389" s="43"/>
      <c r="E2389" s="57"/>
      <c r="F2389" s="58"/>
      <c r="G2389" s="57"/>
      <c r="I2389" s="57"/>
    </row>
    <row r="2390" spans="1:10">
      <c r="A2390" s="3" t="s">
        <v>10</v>
      </c>
      <c r="B2390" s="103">
        <v>524318</v>
      </c>
      <c r="C2390" s="62">
        <v>1768</v>
      </c>
      <c r="D2390" s="61">
        <v>3.3999999999999998E-3</v>
      </c>
      <c r="E2390" s="62">
        <v>40672</v>
      </c>
      <c r="F2390" s="63">
        <v>3.3999999999999998E-3</v>
      </c>
      <c r="G2390" s="62">
        <v>522550</v>
      </c>
      <c r="H2390" s="64">
        <v>0.99660000000000004</v>
      </c>
      <c r="I2390" s="62">
        <v>11836744</v>
      </c>
      <c r="J2390" s="65">
        <v>0.99660000000000004</v>
      </c>
    </row>
    <row r="2391" spans="1:10">
      <c r="A2391" s="3" t="s">
        <v>11</v>
      </c>
      <c r="B2391" s="103">
        <v>49244</v>
      </c>
      <c r="C2391" s="57">
        <v>622</v>
      </c>
      <c r="D2391" s="61">
        <v>1.26E-2</v>
      </c>
      <c r="E2391" s="62">
        <v>37737</v>
      </c>
      <c r="F2391" s="63">
        <v>1.84E-2</v>
      </c>
      <c r="G2391" s="62">
        <v>48622</v>
      </c>
      <c r="H2391" s="64">
        <v>0.98740000000000006</v>
      </c>
      <c r="I2391" s="62">
        <v>2007782</v>
      </c>
      <c r="J2391" s="65">
        <v>0.98160000000000003</v>
      </c>
    </row>
    <row r="2392" spans="1:10">
      <c r="A2392" s="3" t="s">
        <v>12</v>
      </c>
      <c r="B2392" s="103">
        <v>11246</v>
      </c>
      <c r="C2392" s="62">
        <v>2642</v>
      </c>
      <c r="D2392" s="61">
        <v>0.2349</v>
      </c>
      <c r="E2392" s="62">
        <v>2503194</v>
      </c>
      <c r="F2392" s="63">
        <v>0.36520000000000002</v>
      </c>
      <c r="G2392" s="62">
        <v>8604</v>
      </c>
      <c r="H2392" s="64">
        <v>0.7651</v>
      </c>
      <c r="I2392" s="62">
        <v>4350680</v>
      </c>
      <c r="J2392" s="65">
        <v>0.63480000000000003</v>
      </c>
    </row>
    <row r="2393" spans="1:10" ht="21" customHeight="1">
      <c r="A2393" s="3" t="s">
        <v>13</v>
      </c>
      <c r="B2393" s="103">
        <v>460</v>
      </c>
      <c r="C2393" s="57">
        <v>350</v>
      </c>
      <c r="D2393" s="61">
        <v>0.76090000000000002</v>
      </c>
      <c r="E2393" s="62">
        <v>8204928</v>
      </c>
      <c r="F2393" s="63">
        <v>0.88700000000000001</v>
      </c>
      <c r="G2393" s="57">
        <v>110</v>
      </c>
      <c r="H2393" s="64">
        <v>0.23910000000000001</v>
      </c>
      <c r="I2393" s="62">
        <v>1045605</v>
      </c>
      <c r="J2393" s="65">
        <v>0.113</v>
      </c>
    </row>
    <row r="2394" spans="1:10" ht="15.75" thickBot="1">
      <c r="A2394" s="3" t="s">
        <v>181</v>
      </c>
      <c r="B2394" s="103">
        <v>438</v>
      </c>
      <c r="C2394" s="105">
        <v>23</v>
      </c>
      <c r="D2394" s="106">
        <v>5.2499999999999998E-2</v>
      </c>
      <c r="E2394" s="62">
        <v>14155</v>
      </c>
      <c r="F2394" s="66">
        <v>0.57699999999999996</v>
      </c>
      <c r="G2394" s="50">
        <v>415</v>
      </c>
      <c r="H2394" s="68">
        <v>0.94750000000000001</v>
      </c>
      <c r="I2394" s="62">
        <v>10379</v>
      </c>
      <c r="J2394" s="104">
        <v>0.42299999999999999</v>
      </c>
    </row>
    <row r="2395" spans="1:10" ht="17.25" thickTop="1" thickBot="1">
      <c r="A2395" s="34" t="s">
        <v>175</v>
      </c>
      <c r="B2395" s="84">
        <f>SUM(B2390:B2394)</f>
        <v>585706</v>
      </c>
      <c r="C2395" s="74">
        <f>SUM(C2390:C2394)</f>
        <v>5405</v>
      </c>
      <c r="D2395" s="107">
        <v>9.1999999999999998E-3</v>
      </c>
      <c r="E2395" s="74">
        <f>SUM(E2390:E2394)</f>
        <v>10800686</v>
      </c>
      <c r="F2395" s="73">
        <v>0.3594</v>
      </c>
      <c r="G2395" s="74">
        <f>SUM(G2390:G2394)</f>
        <v>580301</v>
      </c>
      <c r="H2395" s="75">
        <v>0.99080000000000001</v>
      </c>
      <c r="I2395" s="74">
        <f>SUM(I2390:I2394)</f>
        <v>19251190</v>
      </c>
      <c r="J2395" s="76">
        <v>0.64059999999999995</v>
      </c>
    </row>
    <row r="2396" spans="1:10" ht="16.5" thickBot="1">
      <c r="A2396" s="22"/>
      <c r="B2396" s="111" t="s">
        <v>249</v>
      </c>
      <c r="C2396" s="22"/>
      <c r="D2396" s="22"/>
      <c r="E2396" s="22"/>
      <c r="F2396" s="22"/>
      <c r="G2396" s="22"/>
      <c r="H2396" s="22"/>
      <c r="I2396" s="22"/>
      <c r="J2396" s="112"/>
    </row>
    <row r="2397" spans="1:10" ht="17.25" thickTop="1" thickBot="1">
      <c r="A2397" s="1" t="s">
        <v>256</v>
      </c>
      <c r="B2397" s="97"/>
      <c r="C2397" s="113" t="s">
        <v>179</v>
      </c>
      <c r="D2397" s="114"/>
      <c r="E2397" s="114"/>
      <c r="F2397" s="115"/>
      <c r="G2397" s="114" t="s">
        <v>180</v>
      </c>
      <c r="H2397" s="114"/>
      <c r="I2397" s="114"/>
      <c r="J2397" s="115"/>
    </row>
    <row r="2398" spans="1:10" ht="15.75" thickTop="1">
      <c r="B2398" s="42" t="s">
        <v>4</v>
      </c>
      <c r="C2398" s="43" t="s">
        <v>5</v>
      </c>
      <c r="D2398" s="44"/>
      <c r="E2398" s="169" t="s">
        <v>6</v>
      </c>
      <c r="F2398" s="170"/>
      <c r="G2398" s="43" t="s">
        <v>7</v>
      </c>
      <c r="H2398" s="46"/>
      <c r="I2398" s="169" t="s">
        <v>6</v>
      </c>
      <c r="J2398" s="171"/>
    </row>
    <row r="2399" spans="1:10" ht="15.75" thickBot="1">
      <c r="B2399" s="49" t="s">
        <v>8</v>
      </c>
      <c r="C2399" s="50" t="s">
        <v>8</v>
      </c>
      <c r="D2399" s="51" t="s">
        <v>9</v>
      </c>
      <c r="E2399" s="50" t="s">
        <v>8</v>
      </c>
      <c r="F2399" s="52" t="s">
        <v>9</v>
      </c>
      <c r="G2399" s="53" t="s">
        <v>8</v>
      </c>
      <c r="H2399" s="54" t="s">
        <v>9</v>
      </c>
      <c r="I2399" s="53" t="s">
        <v>8</v>
      </c>
      <c r="J2399" s="55" t="s">
        <v>9</v>
      </c>
    </row>
    <row r="2400" spans="1:10" ht="15.75" thickTop="1">
      <c r="C2400" s="43"/>
      <c r="E2400" s="57"/>
      <c r="F2400" s="58"/>
      <c r="G2400" s="57"/>
      <c r="I2400" s="57"/>
    </row>
    <row r="2401" spans="1:10">
      <c r="A2401" s="3" t="s">
        <v>10</v>
      </c>
      <c r="B2401" s="103">
        <v>524029</v>
      </c>
      <c r="C2401" s="62">
        <v>1727</v>
      </c>
      <c r="D2401" s="61">
        <v>3.3E-3</v>
      </c>
      <c r="E2401" s="62">
        <v>35083</v>
      </c>
      <c r="F2401" s="63">
        <v>3.5000000000000001E-3</v>
      </c>
      <c r="G2401" s="62">
        <v>522302</v>
      </c>
      <c r="H2401" s="64">
        <v>0.99670000000000003</v>
      </c>
      <c r="I2401" s="62">
        <v>10104677</v>
      </c>
      <c r="J2401" s="65">
        <v>0.99650000000000005</v>
      </c>
    </row>
    <row r="2402" spans="1:10">
      <c r="A2402" s="3" t="s">
        <v>11</v>
      </c>
      <c r="B2402" s="103">
        <v>49233</v>
      </c>
      <c r="C2402" s="57">
        <v>611</v>
      </c>
      <c r="D2402" s="61">
        <v>1.24E-2</v>
      </c>
      <c r="E2402" s="62">
        <v>31510</v>
      </c>
      <c r="F2402" s="63">
        <v>1.7999999999999999E-2</v>
      </c>
      <c r="G2402" s="62">
        <v>48622</v>
      </c>
      <c r="H2402" s="64">
        <v>0.98760000000000003</v>
      </c>
      <c r="I2402" s="62">
        <v>1714473</v>
      </c>
      <c r="J2402" s="65">
        <v>0.98199999999999998</v>
      </c>
    </row>
    <row r="2403" spans="1:10">
      <c r="A2403" s="3" t="s">
        <v>12</v>
      </c>
      <c r="B2403" s="103">
        <v>11222</v>
      </c>
      <c r="C2403" s="62">
        <v>2582</v>
      </c>
      <c r="D2403" s="61">
        <v>0.2301</v>
      </c>
      <c r="E2403" s="62">
        <v>2332132</v>
      </c>
      <c r="F2403" s="63">
        <v>0.37519999999999998</v>
      </c>
      <c r="G2403" s="62">
        <v>8640</v>
      </c>
      <c r="H2403" s="64">
        <v>0.76990000000000003</v>
      </c>
      <c r="I2403" s="62">
        <v>3883199</v>
      </c>
      <c r="J2403" s="65">
        <v>0.62480000000000002</v>
      </c>
    </row>
    <row r="2404" spans="1:10" ht="21" customHeight="1">
      <c r="A2404" s="3" t="s">
        <v>13</v>
      </c>
      <c r="B2404" s="103">
        <v>447</v>
      </c>
      <c r="C2404" s="57">
        <v>334</v>
      </c>
      <c r="D2404" s="61">
        <v>0.74719999999999998</v>
      </c>
      <c r="E2404" s="62">
        <v>7763385</v>
      </c>
      <c r="F2404" s="63">
        <v>0.87529999999999997</v>
      </c>
      <c r="G2404" s="57">
        <v>113</v>
      </c>
      <c r="H2404" s="64">
        <v>0.25280000000000002</v>
      </c>
      <c r="I2404" s="62">
        <v>1105762</v>
      </c>
      <c r="J2404" s="65">
        <v>0.12470000000000001</v>
      </c>
    </row>
    <row r="2405" spans="1:10" ht="15.75" thickBot="1">
      <c r="A2405" s="3" t="s">
        <v>181</v>
      </c>
      <c r="B2405" s="103">
        <v>438</v>
      </c>
      <c r="C2405" s="105">
        <v>22</v>
      </c>
      <c r="D2405" s="106">
        <v>5.0200000000000002E-2</v>
      </c>
      <c r="E2405" s="62">
        <v>15428</v>
      </c>
      <c r="F2405" s="66">
        <v>0.58099999999999996</v>
      </c>
      <c r="G2405" s="50">
        <v>416</v>
      </c>
      <c r="H2405" s="68">
        <v>0.94979999999999998</v>
      </c>
      <c r="I2405" s="62">
        <v>11127</v>
      </c>
      <c r="J2405" s="104">
        <v>0.41899999999999998</v>
      </c>
    </row>
    <row r="2406" spans="1:10" ht="17.25" thickTop="1" thickBot="1">
      <c r="A2406" s="34" t="s">
        <v>175</v>
      </c>
      <c r="B2406" s="84">
        <f>SUM(B2401:B2405)</f>
        <v>585369</v>
      </c>
      <c r="C2406" s="74">
        <f>SUM(C2401:C2405)</f>
        <v>5276</v>
      </c>
      <c r="D2406" s="107">
        <v>8.9999999999999993E-3</v>
      </c>
      <c r="E2406" s="74">
        <f>SUM(E2401:E2405)</f>
        <v>10177538</v>
      </c>
      <c r="F2406" s="73">
        <v>0.377</v>
      </c>
      <c r="G2406" s="74">
        <f>SUM(G2401:G2405)</f>
        <v>580093</v>
      </c>
      <c r="H2406" s="75">
        <v>0.99099999999999999</v>
      </c>
      <c r="I2406" s="74">
        <f>SUM(I2401:I2405)</f>
        <v>16819238</v>
      </c>
      <c r="J2406" s="76">
        <v>0.623</v>
      </c>
    </row>
    <row r="2407" spans="1:10" ht="16.5" thickBot="1">
      <c r="A2407" s="22"/>
      <c r="B2407" s="111" t="s">
        <v>249</v>
      </c>
      <c r="C2407" s="22"/>
      <c r="D2407" s="22"/>
      <c r="E2407" s="22"/>
      <c r="F2407" s="22"/>
      <c r="G2407" s="22"/>
      <c r="H2407" s="22"/>
      <c r="I2407" s="22"/>
      <c r="J2407" s="112"/>
    </row>
    <row r="2408" spans="1:10" ht="17.25" thickTop="1" thickBot="1">
      <c r="A2408" s="1" t="s">
        <v>257</v>
      </c>
      <c r="B2408" s="97"/>
      <c r="C2408" s="113" t="s">
        <v>179</v>
      </c>
      <c r="D2408" s="114"/>
      <c r="E2408" s="114"/>
      <c r="F2408" s="115"/>
      <c r="G2408" s="114" t="s">
        <v>180</v>
      </c>
      <c r="H2408" s="114"/>
      <c r="I2408" s="114"/>
      <c r="J2408" s="115"/>
    </row>
    <row r="2409" spans="1:10" ht="15.75" thickTop="1">
      <c r="B2409" s="42" t="s">
        <v>4</v>
      </c>
      <c r="C2409" s="43" t="s">
        <v>5</v>
      </c>
      <c r="D2409" s="44"/>
      <c r="E2409" s="169" t="s">
        <v>6</v>
      </c>
      <c r="F2409" s="170"/>
      <c r="G2409" s="43" t="s">
        <v>7</v>
      </c>
      <c r="H2409" s="46"/>
      <c r="I2409" s="169" t="s">
        <v>6</v>
      </c>
      <c r="J2409" s="171"/>
    </row>
    <row r="2410" spans="1:10" ht="15.75" thickBot="1">
      <c r="B2410" s="49" t="s">
        <v>8</v>
      </c>
      <c r="C2410" s="50" t="s">
        <v>8</v>
      </c>
      <c r="D2410" s="51" t="s">
        <v>9</v>
      </c>
      <c r="E2410" s="50" t="s">
        <v>8</v>
      </c>
      <c r="F2410" s="52" t="s">
        <v>9</v>
      </c>
      <c r="G2410" s="53" t="s">
        <v>8</v>
      </c>
      <c r="H2410" s="54" t="s">
        <v>9</v>
      </c>
      <c r="I2410" s="53" t="s">
        <v>8</v>
      </c>
      <c r="J2410" s="55" t="s">
        <v>9</v>
      </c>
    </row>
    <row r="2411" spans="1:10" ht="15.75" thickTop="1">
      <c r="C2411" s="43"/>
      <c r="E2411" s="57"/>
      <c r="F2411" s="58"/>
      <c r="G2411" s="57"/>
      <c r="I2411" s="57"/>
    </row>
    <row r="2412" spans="1:10">
      <c r="A2412" s="3" t="s">
        <v>10</v>
      </c>
      <c r="B2412" s="103">
        <v>523318</v>
      </c>
      <c r="C2412" s="62">
        <v>1710</v>
      </c>
      <c r="D2412" s="61">
        <v>3.3E-3</v>
      </c>
      <c r="E2412" s="62">
        <v>30124</v>
      </c>
      <c r="F2412" s="63">
        <v>3.3999999999999998E-3</v>
      </c>
      <c r="G2412" s="62">
        <v>521608</v>
      </c>
      <c r="H2412" s="64">
        <v>0.99670000000000003</v>
      </c>
      <c r="I2412" s="62">
        <v>8902041</v>
      </c>
      <c r="J2412" s="65">
        <v>0.99660000000000004</v>
      </c>
    </row>
    <row r="2413" spans="1:10">
      <c r="A2413" s="3" t="s">
        <v>11</v>
      </c>
      <c r="B2413" s="103">
        <v>49172</v>
      </c>
      <c r="C2413" s="57">
        <v>603</v>
      </c>
      <c r="D2413" s="61">
        <v>1.23E-2</v>
      </c>
      <c r="E2413" s="62">
        <v>28312</v>
      </c>
      <c r="F2413" s="63">
        <v>1.8599999999999998E-2</v>
      </c>
      <c r="G2413" s="62">
        <v>48569</v>
      </c>
      <c r="H2413" s="64">
        <v>0.98770000000000002</v>
      </c>
      <c r="I2413" s="62">
        <v>1492147</v>
      </c>
      <c r="J2413" s="65">
        <v>0.98140000000000005</v>
      </c>
    </row>
    <row r="2414" spans="1:10">
      <c r="A2414" s="3" t="s">
        <v>12</v>
      </c>
      <c r="B2414" s="103">
        <v>11179</v>
      </c>
      <c r="C2414" s="62">
        <v>2528</v>
      </c>
      <c r="D2414" s="61">
        <v>0.2261</v>
      </c>
      <c r="E2414" s="62">
        <v>1977108</v>
      </c>
      <c r="F2414" s="63">
        <v>0.374</v>
      </c>
      <c r="G2414" s="62">
        <v>8651</v>
      </c>
      <c r="H2414" s="64">
        <v>0.77390000000000003</v>
      </c>
      <c r="I2414" s="62">
        <v>3308675</v>
      </c>
      <c r="J2414" s="65">
        <v>0.626</v>
      </c>
    </row>
    <row r="2415" spans="1:10" ht="21" customHeight="1">
      <c r="A2415" s="3" t="s">
        <v>13</v>
      </c>
      <c r="B2415" s="103">
        <v>450</v>
      </c>
      <c r="C2415" s="57">
        <v>328</v>
      </c>
      <c r="D2415" s="61">
        <v>0.72889999999999999</v>
      </c>
      <c r="E2415" s="62">
        <v>6797163</v>
      </c>
      <c r="F2415" s="63">
        <v>0.87080000000000002</v>
      </c>
      <c r="G2415" s="57">
        <v>122</v>
      </c>
      <c r="H2415" s="64">
        <v>0.27110000000000001</v>
      </c>
      <c r="I2415" s="62">
        <v>1008099</v>
      </c>
      <c r="J2415" s="65">
        <v>0.12920000000000001</v>
      </c>
    </row>
    <row r="2416" spans="1:10" ht="15.75" thickBot="1">
      <c r="A2416" s="3" t="s">
        <v>181</v>
      </c>
      <c r="B2416" s="103">
        <v>438</v>
      </c>
      <c r="C2416" s="105">
        <v>21</v>
      </c>
      <c r="D2416" s="106">
        <v>4.7899999999999998E-2</v>
      </c>
      <c r="E2416" s="62">
        <v>14746</v>
      </c>
      <c r="F2416" s="66">
        <v>0.57850000000000001</v>
      </c>
      <c r="G2416" s="50">
        <v>417</v>
      </c>
      <c r="H2416" s="68">
        <v>0.95209999999999995</v>
      </c>
      <c r="I2416" s="62">
        <v>10744</v>
      </c>
      <c r="J2416" s="104">
        <v>0.42149999999999999</v>
      </c>
    </row>
    <row r="2417" spans="1:10" ht="17.25" thickTop="1" thickBot="1">
      <c r="A2417" s="34" t="s">
        <v>175</v>
      </c>
      <c r="B2417" s="84">
        <f>SUM(B2412:B2416)</f>
        <v>584557</v>
      </c>
      <c r="C2417" s="74">
        <f>SUM(C2412:C2416)</f>
        <v>5190</v>
      </c>
      <c r="D2417" s="107">
        <v>8.8999999999999999E-3</v>
      </c>
      <c r="E2417" s="74">
        <f>SUM(E2412:E2416)</f>
        <v>8847453</v>
      </c>
      <c r="F2417" s="73">
        <v>0.37540000000000001</v>
      </c>
      <c r="G2417" s="74">
        <f>SUM(G2412:G2416)</f>
        <v>579367</v>
      </c>
      <c r="H2417" s="75">
        <v>0.99109999999999998</v>
      </c>
      <c r="I2417" s="74">
        <f>SUM(I2412:I2416)</f>
        <v>14721706</v>
      </c>
      <c r="J2417" s="76">
        <v>0.62460000000000004</v>
      </c>
    </row>
    <row r="2418" spans="1:10" ht="16.5" thickBot="1">
      <c r="A2418" s="22"/>
      <c r="B2418" s="111" t="s">
        <v>249</v>
      </c>
      <c r="C2418" s="22"/>
      <c r="D2418" s="22"/>
      <c r="E2418" s="22"/>
      <c r="F2418" s="22"/>
      <c r="G2418" s="22"/>
      <c r="H2418" s="22"/>
      <c r="I2418" s="22"/>
      <c r="J2418" s="112"/>
    </row>
    <row r="2419" spans="1:10" ht="17.25" thickTop="1" thickBot="1">
      <c r="A2419" s="1" t="s">
        <v>258</v>
      </c>
      <c r="B2419" s="97"/>
      <c r="C2419" s="113" t="s">
        <v>179</v>
      </c>
      <c r="D2419" s="114"/>
      <c r="E2419" s="114"/>
      <c r="F2419" s="115"/>
      <c r="G2419" s="114" t="s">
        <v>180</v>
      </c>
      <c r="H2419" s="114"/>
      <c r="I2419" s="114"/>
      <c r="J2419" s="115"/>
    </row>
    <row r="2420" spans="1:10" ht="15.75" thickTop="1">
      <c r="B2420" s="42" t="s">
        <v>4</v>
      </c>
      <c r="C2420" s="43" t="s">
        <v>5</v>
      </c>
      <c r="D2420" s="44"/>
      <c r="E2420" s="169" t="s">
        <v>6</v>
      </c>
      <c r="F2420" s="170"/>
      <c r="G2420" s="43" t="s">
        <v>7</v>
      </c>
      <c r="H2420" s="46"/>
      <c r="I2420" s="169" t="s">
        <v>6</v>
      </c>
      <c r="J2420" s="171"/>
    </row>
    <row r="2421" spans="1:10" ht="15.75" thickBot="1">
      <c r="B2421" s="49" t="s">
        <v>8</v>
      </c>
      <c r="C2421" s="50" t="s">
        <v>8</v>
      </c>
      <c r="D2421" s="51" t="s">
        <v>9</v>
      </c>
      <c r="E2421" s="50" t="s">
        <v>8</v>
      </c>
      <c r="F2421" s="52" t="s">
        <v>9</v>
      </c>
      <c r="G2421" s="53" t="s">
        <v>8</v>
      </c>
      <c r="H2421" s="54" t="s">
        <v>9</v>
      </c>
      <c r="I2421" s="53" t="s">
        <v>8</v>
      </c>
      <c r="J2421" s="55" t="s">
        <v>9</v>
      </c>
    </row>
    <row r="2422" spans="1:10" ht="15.75" thickTop="1">
      <c r="C2422" s="43"/>
      <c r="E2422" s="57"/>
      <c r="F2422" s="58"/>
      <c r="G2422" s="57"/>
      <c r="I2422" s="57"/>
    </row>
    <row r="2423" spans="1:10">
      <c r="A2423" s="3" t="s">
        <v>10</v>
      </c>
      <c r="B2423" s="103">
        <v>523630</v>
      </c>
      <c r="C2423" s="62">
        <v>1695</v>
      </c>
      <c r="D2423" s="61">
        <v>3.2000000000000002E-3</v>
      </c>
      <c r="E2423" s="62">
        <v>29639</v>
      </c>
      <c r="F2423" s="63">
        <v>3.3999999999999998E-3</v>
      </c>
      <c r="G2423" s="62">
        <v>521935</v>
      </c>
      <c r="H2423" s="64">
        <v>0.99680000000000002</v>
      </c>
      <c r="I2423" s="62">
        <v>8663016</v>
      </c>
      <c r="J2423" s="65">
        <v>0.99660000000000004</v>
      </c>
    </row>
    <row r="2424" spans="1:10">
      <c r="A2424" s="3" t="s">
        <v>11</v>
      </c>
      <c r="B2424" s="103">
        <v>49090</v>
      </c>
      <c r="C2424" s="57">
        <v>597</v>
      </c>
      <c r="D2424" s="61">
        <v>1.2200000000000001E-2</v>
      </c>
      <c r="E2424" s="62">
        <v>28288</v>
      </c>
      <c r="F2424" s="63">
        <v>1.9599999999999999E-2</v>
      </c>
      <c r="G2424" s="62">
        <v>48493</v>
      </c>
      <c r="H2424" s="64">
        <v>0.98780000000000001</v>
      </c>
      <c r="I2424" s="62">
        <v>1415448</v>
      </c>
      <c r="J2424" s="65">
        <v>0.98040000000000005</v>
      </c>
    </row>
    <row r="2425" spans="1:10">
      <c r="A2425" s="3" t="s">
        <v>12</v>
      </c>
      <c r="B2425" s="103">
        <v>11211</v>
      </c>
      <c r="C2425" s="62">
        <v>2535</v>
      </c>
      <c r="D2425" s="61">
        <v>0.2261</v>
      </c>
      <c r="E2425" s="62">
        <v>1869438</v>
      </c>
      <c r="F2425" s="63">
        <v>0.37209999999999999</v>
      </c>
      <c r="G2425" s="62">
        <v>8676</v>
      </c>
      <c r="H2425" s="64">
        <v>0.77300000000000002</v>
      </c>
      <c r="I2425" s="62">
        <v>3154176</v>
      </c>
      <c r="J2425" s="65">
        <v>0.62790000000000001</v>
      </c>
    </row>
    <row r="2426" spans="1:10" ht="21" customHeight="1">
      <c r="A2426" s="3" t="s">
        <v>13</v>
      </c>
      <c r="B2426" s="103">
        <v>450</v>
      </c>
      <c r="C2426" s="57">
        <v>322</v>
      </c>
      <c r="D2426" s="61">
        <v>0.71560000000000001</v>
      </c>
      <c r="E2426" s="62">
        <v>7217738</v>
      </c>
      <c r="F2426" s="63">
        <v>0.877</v>
      </c>
      <c r="G2426" s="57">
        <v>128</v>
      </c>
      <c r="H2426" s="64">
        <v>0.28439999999999999</v>
      </c>
      <c r="I2426" s="62">
        <v>1011854</v>
      </c>
      <c r="J2426" s="65">
        <v>0.123</v>
      </c>
    </row>
    <row r="2427" spans="1:10" ht="15.75" thickBot="1">
      <c r="A2427" s="3" t="s">
        <v>181</v>
      </c>
      <c r="B2427" s="103">
        <v>437</v>
      </c>
      <c r="C2427" s="105">
        <v>21</v>
      </c>
      <c r="D2427" s="106">
        <v>4.8099999999999997E-2</v>
      </c>
      <c r="E2427" s="62">
        <v>7846</v>
      </c>
      <c r="F2427" s="66">
        <v>0.38600000000000001</v>
      </c>
      <c r="G2427" s="50">
        <v>416</v>
      </c>
      <c r="H2427" s="68">
        <v>0.95189999999999997</v>
      </c>
      <c r="I2427" s="62">
        <v>12482</v>
      </c>
      <c r="J2427" s="104">
        <v>0.61399999999999999</v>
      </c>
    </row>
    <row r="2428" spans="1:10" ht="17.25" thickTop="1" thickBot="1">
      <c r="A2428" s="34" t="s">
        <v>175</v>
      </c>
      <c r="B2428" s="84">
        <f>SUM(B2423:B2427)</f>
        <v>584818</v>
      </c>
      <c r="C2428" s="74">
        <f>SUM(C2423:C2427)</f>
        <v>5170</v>
      </c>
      <c r="D2428" s="107">
        <v>8.8000000000000005E-3</v>
      </c>
      <c r="E2428" s="74">
        <f>SUM(E2423:E2427)</f>
        <v>9152949</v>
      </c>
      <c r="F2428" s="73">
        <v>0.39100000000000001</v>
      </c>
      <c r="G2428" s="74">
        <f>SUM(G2423:G2427)</f>
        <v>579648</v>
      </c>
      <c r="H2428" s="75">
        <v>0.99119999999999997</v>
      </c>
      <c r="I2428" s="74">
        <f>SUM(I2423:I2427)</f>
        <v>14256976</v>
      </c>
      <c r="J2428" s="76">
        <v>0.60899999999999999</v>
      </c>
    </row>
    <row r="2429" spans="1:10" ht="16.5" thickBot="1">
      <c r="A2429" s="22"/>
      <c r="B2429" s="111" t="s">
        <v>249</v>
      </c>
      <c r="C2429" s="22"/>
      <c r="D2429" s="22"/>
      <c r="E2429" s="22"/>
      <c r="F2429" s="22"/>
      <c r="G2429" s="22"/>
      <c r="H2429" s="22"/>
      <c r="I2429" s="22"/>
      <c r="J2429" s="112"/>
    </row>
    <row r="2430" spans="1:10" ht="17.25" thickTop="1" thickBot="1">
      <c r="A2430" s="1" t="s">
        <v>259</v>
      </c>
      <c r="B2430" s="97"/>
      <c r="C2430" s="113" t="s">
        <v>179</v>
      </c>
      <c r="D2430" s="114"/>
      <c r="E2430" s="114"/>
      <c r="F2430" s="115"/>
      <c r="G2430" s="114" t="s">
        <v>180</v>
      </c>
      <c r="H2430" s="114"/>
      <c r="I2430" s="114"/>
      <c r="J2430" s="115"/>
    </row>
    <row r="2431" spans="1:10" ht="15.75" thickTop="1">
      <c r="B2431" s="42" t="s">
        <v>4</v>
      </c>
      <c r="C2431" s="43" t="s">
        <v>5</v>
      </c>
      <c r="D2431" s="44"/>
      <c r="E2431" s="169" t="s">
        <v>6</v>
      </c>
      <c r="F2431" s="170"/>
      <c r="G2431" s="43" t="s">
        <v>7</v>
      </c>
      <c r="H2431" s="46"/>
      <c r="I2431" s="169" t="s">
        <v>6</v>
      </c>
      <c r="J2431" s="171"/>
    </row>
    <row r="2432" spans="1:10" ht="15.75" thickBot="1">
      <c r="B2432" s="49" t="s">
        <v>8</v>
      </c>
      <c r="C2432" s="50" t="s">
        <v>8</v>
      </c>
      <c r="D2432" s="51" t="s">
        <v>9</v>
      </c>
      <c r="E2432" s="50" t="s">
        <v>8</v>
      </c>
      <c r="F2432" s="52" t="s">
        <v>9</v>
      </c>
      <c r="G2432" s="53" t="s">
        <v>8</v>
      </c>
      <c r="H2432" s="54" t="s">
        <v>9</v>
      </c>
      <c r="I2432" s="53" t="s">
        <v>8</v>
      </c>
      <c r="J2432" s="55" t="s">
        <v>9</v>
      </c>
    </row>
    <row r="2433" spans="1:10" ht="15.75" thickTop="1">
      <c r="C2433" s="43"/>
      <c r="E2433" s="57"/>
      <c r="F2433" s="58"/>
      <c r="G2433" s="57"/>
      <c r="I2433" s="57"/>
    </row>
    <row r="2434" spans="1:10">
      <c r="A2434" s="3" t="s">
        <v>10</v>
      </c>
      <c r="B2434" s="103">
        <v>523323</v>
      </c>
      <c r="C2434" s="62">
        <v>1696</v>
      </c>
      <c r="D2434" s="61">
        <v>3.2000000000000002E-3</v>
      </c>
      <c r="E2434" s="62">
        <v>33174</v>
      </c>
      <c r="F2434" s="63">
        <v>3.5000000000000001E-3</v>
      </c>
      <c r="G2434" s="62">
        <v>521627</v>
      </c>
      <c r="H2434" s="64">
        <v>0.99680000000000002</v>
      </c>
      <c r="I2434" s="62">
        <v>9504010</v>
      </c>
      <c r="J2434" s="65">
        <v>0.99650000000000005</v>
      </c>
    </row>
    <row r="2435" spans="1:10">
      <c r="A2435" s="3" t="s">
        <v>11</v>
      </c>
      <c r="B2435" s="103">
        <v>49066</v>
      </c>
      <c r="C2435" s="57">
        <v>595</v>
      </c>
      <c r="D2435" s="61">
        <v>1.21E-2</v>
      </c>
      <c r="E2435" s="62">
        <v>30992</v>
      </c>
      <c r="F2435" s="63">
        <v>2.0799999999999999E-2</v>
      </c>
      <c r="G2435" s="62">
        <v>48471</v>
      </c>
      <c r="H2435" s="64">
        <v>0.9879</v>
      </c>
      <c r="I2435" s="62">
        <v>1458471</v>
      </c>
      <c r="J2435" s="65">
        <v>0.97919999999999996</v>
      </c>
    </row>
    <row r="2436" spans="1:10">
      <c r="A2436" s="3" t="s">
        <v>12</v>
      </c>
      <c r="B2436" s="103">
        <v>11207</v>
      </c>
      <c r="C2436" s="62">
        <v>2481</v>
      </c>
      <c r="D2436" s="61">
        <v>0.22140000000000001</v>
      </c>
      <c r="E2436" s="62">
        <v>1748683</v>
      </c>
      <c r="F2436" s="63">
        <v>0.35899999999999999</v>
      </c>
      <c r="G2436" s="62">
        <v>8726</v>
      </c>
      <c r="H2436" s="64">
        <v>0.77859999999999996</v>
      </c>
      <c r="I2436" s="62">
        <v>3121836</v>
      </c>
      <c r="J2436" s="65">
        <v>0.64100000000000001</v>
      </c>
    </row>
    <row r="2437" spans="1:10" ht="21" customHeight="1">
      <c r="A2437" s="3" t="s">
        <v>13</v>
      </c>
      <c r="B2437" s="103">
        <v>454</v>
      </c>
      <c r="C2437" s="57">
        <v>313</v>
      </c>
      <c r="D2437" s="61">
        <v>0.68940000000000001</v>
      </c>
      <c r="E2437" s="62">
        <v>6916720</v>
      </c>
      <c r="F2437" s="63">
        <v>0.87150000000000005</v>
      </c>
      <c r="G2437" s="57">
        <v>141</v>
      </c>
      <c r="H2437" s="64">
        <v>0.31059999999999999</v>
      </c>
      <c r="I2437" s="62">
        <v>1020190</v>
      </c>
      <c r="J2437" s="65">
        <v>0.1285</v>
      </c>
    </row>
    <row r="2438" spans="1:10" ht="15.75" thickBot="1">
      <c r="A2438" s="3" t="s">
        <v>181</v>
      </c>
      <c r="B2438" s="103">
        <v>435</v>
      </c>
      <c r="C2438" s="105">
        <v>10</v>
      </c>
      <c r="D2438" s="106">
        <v>2.3E-2</v>
      </c>
      <c r="E2438" s="62">
        <v>3792</v>
      </c>
      <c r="F2438" s="66">
        <v>0.23769999999999999</v>
      </c>
      <c r="G2438" s="50">
        <v>425</v>
      </c>
      <c r="H2438" s="68">
        <v>0.97699999999999998</v>
      </c>
      <c r="I2438" s="62">
        <v>12164</v>
      </c>
      <c r="J2438" s="104">
        <v>0.76229999999999998</v>
      </c>
    </row>
    <row r="2439" spans="1:10" ht="17.25" thickTop="1" thickBot="1">
      <c r="A2439" s="34" t="s">
        <v>175</v>
      </c>
      <c r="B2439" s="84">
        <f>SUM(B2434:B2438)</f>
        <v>584485</v>
      </c>
      <c r="C2439" s="74">
        <f>SUM(C2434:C2438)</f>
        <v>5095</v>
      </c>
      <c r="D2439" s="107">
        <v>8.6999999999999994E-3</v>
      </c>
      <c r="E2439" s="74">
        <f>SUM(E2434:E2438)</f>
        <v>8733361</v>
      </c>
      <c r="F2439" s="73">
        <v>0.36620000000000003</v>
      </c>
      <c r="G2439" s="74">
        <f>SUM(G2434:G2438)</f>
        <v>579390</v>
      </c>
      <c r="H2439" s="75">
        <v>0.99129999999999996</v>
      </c>
      <c r="I2439" s="74">
        <f>SUM(I2434:I2438)</f>
        <v>15116671</v>
      </c>
      <c r="J2439" s="76">
        <v>0.63380000000000003</v>
      </c>
    </row>
    <row r="2440" spans="1:10" ht="16.5" thickBot="1">
      <c r="A2440" s="22"/>
      <c r="B2440" s="111" t="s">
        <v>249</v>
      </c>
      <c r="C2440" s="22"/>
      <c r="D2440" s="22"/>
      <c r="E2440" s="22"/>
      <c r="F2440" s="22"/>
      <c r="G2440" s="22"/>
      <c r="H2440" s="22"/>
      <c r="I2440" s="22"/>
      <c r="J2440" s="112"/>
    </row>
    <row r="2441" spans="1:10" ht="17.25" thickTop="1" thickBot="1">
      <c r="A2441" s="1" t="s">
        <v>260</v>
      </c>
      <c r="B2441" s="97"/>
      <c r="C2441" s="113" t="s">
        <v>179</v>
      </c>
      <c r="D2441" s="114"/>
      <c r="E2441" s="114"/>
      <c r="F2441" s="115"/>
      <c r="G2441" s="114" t="s">
        <v>180</v>
      </c>
      <c r="H2441" s="114"/>
      <c r="I2441" s="114"/>
      <c r="J2441" s="115"/>
    </row>
    <row r="2442" spans="1:10" ht="15.75" thickTop="1">
      <c r="B2442" s="42" t="s">
        <v>4</v>
      </c>
      <c r="C2442" s="43" t="s">
        <v>5</v>
      </c>
      <c r="D2442" s="44"/>
      <c r="E2442" s="169" t="s">
        <v>6</v>
      </c>
      <c r="F2442" s="170"/>
      <c r="G2442" s="43" t="s">
        <v>7</v>
      </c>
      <c r="H2442" s="46"/>
      <c r="I2442" s="169" t="s">
        <v>6</v>
      </c>
      <c r="J2442" s="171"/>
    </row>
    <row r="2443" spans="1:10" ht="15.75" thickBot="1">
      <c r="B2443" s="49" t="s">
        <v>8</v>
      </c>
      <c r="C2443" s="50" t="s">
        <v>8</v>
      </c>
      <c r="D2443" s="51" t="s">
        <v>9</v>
      </c>
      <c r="E2443" s="50" t="s">
        <v>8</v>
      </c>
      <c r="F2443" s="52" t="s">
        <v>9</v>
      </c>
      <c r="G2443" s="53" t="s">
        <v>8</v>
      </c>
      <c r="H2443" s="54" t="s">
        <v>9</v>
      </c>
      <c r="I2443" s="53" t="s">
        <v>8</v>
      </c>
      <c r="J2443" s="55" t="s">
        <v>9</v>
      </c>
    </row>
    <row r="2444" spans="1:10" ht="15.75" thickTop="1">
      <c r="C2444" s="43"/>
      <c r="E2444" s="57"/>
      <c r="F2444" s="58"/>
      <c r="G2444" s="57"/>
      <c r="I2444" s="57"/>
    </row>
    <row r="2445" spans="1:10">
      <c r="A2445" s="3" t="s">
        <v>10</v>
      </c>
      <c r="B2445" s="103">
        <v>522722</v>
      </c>
      <c r="C2445" s="62">
        <v>1686</v>
      </c>
      <c r="D2445" s="61">
        <v>3.2000000000000002E-3</v>
      </c>
      <c r="E2445" s="62">
        <v>31973</v>
      </c>
      <c r="F2445" s="63">
        <v>2.8999999999999998E-3</v>
      </c>
      <c r="G2445" s="62">
        <v>521036</v>
      </c>
      <c r="H2445" s="64">
        <v>0.99680000000000002</v>
      </c>
      <c r="I2445" s="62">
        <v>11166112</v>
      </c>
      <c r="J2445" s="65">
        <v>0.99709999999999999</v>
      </c>
    </row>
    <row r="2446" spans="1:10">
      <c r="A2446" s="3" t="s">
        <v>11</v>
      </c>
      <c r="B2446" s="103">
        <v>49008</v>
      </c>
      <c r="C2446" s="57">
        <v>584</v>
      </c>
      <c r="D2446" s="61">
        <v>1.1900000000000001E-2</v>
      </c>
      <c r="E2446" s="62">
        <v>36219</v>
      </c>
      <c r="F2446" s="63">
        <v>1.9900000000000001E-2</v>
      </c>
      <c r="G2446" s="62">
        <v>48424</v>
      </c>
      <c r="H2446" s="64">
        <v>0.98809999999999998</v>
      </c>
      <c r="I2446" s="62">
        <v>1783819</v>
      </c>
      <c r="J2446" s="65">
        <v>0.98009999999999997</v>
      </c>
    </row>
    <row r="2447" spans="1:10">
      <c r="A2447" s="3" t="s">
        <v>12</v>
      </c>
      <c r="B2447" s="103">
        <v>11254</v>
      </c>
      <c r="C2447" s="62">
        <v>2356</v>
      </c>
      <c r="D2447" s="61">
        <v>0.20930000000000001</v>
      </c>
      <c r="E2447" s="62">
        <v>1953053</v>
      </c>
      <c r="F2447" s="63">
        <v>0.34539999999999998</v>
      </c>
      <c r="G2447" s="62">
        <v>8898</v>
      </c>
      <c r="H2447" s="64">
        <v>0.79069999999999996</v>
      </c>
      <c r="I2447" s="62">
        <v>3701899</v>
      </c>
      <c r="J2447" s="65">
        <v>0.65459999999999996</v>
      </c>
    </row>
    <row r="2448" spans="1:10" ht="21" customHeight="1">
      <c r="A2448" s="3" t="s">
        <v>13</v>
      </c>
      <c r="B2448" s="103">
        <v>452</v>
      </c>
      <c r="C2448" s="57">
        <v>293</v>
      </c>
      <c r="D2448" s="61">
        <v>0.6482</v>
      </c>
      <c r="E2448" s="62">
        <v>6930496</v>
      </c>
      <c r="F2448" s="63">
        <v>0.84389999999999998</v>
      </c>
      <c r="G2448" s="57">
        <v>159</v>
      </c>
      <c r="H2448" s="64">
        <v>0.3518</v>
      </c>
      <c r="I2448" s="62">
        <v>1281556</v>
      </c>
      <c r="J2448" s="65">
        <v>0.15609999999999999</v>
      </c>
    </row>
    <row r="2449" spans="1:10" ht="15.75" thickBot="1">
      <c r="A2449" s="3" t="s">
        <v>181</v>
      </c>
      <c r="B2449" s="103">
        <v>435</v>
      </c>
      <c r="C2449" s="105">
        <v>10</v>
      </c>
      <c r="D2449" s="106">
        <v>2.3E-2</v>
      </c>
      <c r="E2449" s="62">
        <v>5003</v>
      </c>
      <c r="F2449" s="66">
        <v>0.2142</v>
      </c>
      <c r="G2449" s="50">
        <v>425</v>
      </c>
      <c r="H2449" s="68">
        <v>0.97699999999999998</v>
      </c>
      <c r="I2449" s="62">
        <v>18353</v>
      </c>
      <c r="J2449" s="104">
        <v>0.78580000000000005</v>
      </c>
    </row>
    <row r="2450" spans="1:10" ht="17.25" thickTop="1" thickBot="1">
      <c r="A2450" s="34" t="s">
        <v>175</v>
      </c>
      <c r="B2450" s="84">
        <f>SUM(B2445:B2449)</f>
        <v>583871</v>
      </c>
      <c r="C2450" s="74">
        <f>SUM(C2445:C2449)</f>
        <v>4929</v>
      </c>
      <c r="D2450" s="107">
        <v>8.3999999999999995E-3</v>
      </c>
      <c r="E2450" s="74">
        <f>SUM(E2445:E2449)</f>
        <v>8956744</v>
      </c>
      <c r="F2450" s="73">
        <v>0.33289999999999997</v>
      </c>
      <c r="G2450" s="74">
        <f>SUM(G2445:G2449)</f>
        <v>578942</v>
      </c>
      <c r="H2450" s="75">
        <v>0.99160000000000004</v>
      </c>
      <c r="I2450" s="74">
        <f>SUM(I2445:I2449)</f>
        <v>17951739</v>
      </c>
      <c r="J2450" s="76">
        <v>0.66710000000000003</v>
      </c>
    </row>
    <row r="2451" spans="1:10" ht="16.5" thickBot="1">
      <c r="A2451" s="22"/>
      <c r="B2451" s="111" t="s">
        <v>249</v>
      </c>
      <c r="C2451" s="22"/>
      <c r="D2451" s="22"/>
      <c r="E2451" s="22"/>
      <c r="F2451" s="22"/>
      <c r="G2451" s="22"/>
      <c r="H2451" s="22"/>
      <c r="I2451" s="22"/>
      <c r="J2451" s="112"/>
    </row>
    <row r="2452" spans="1:10" ht="17.25" thickTop="1" thickBot="1">
      <c r="A2452" s="1" t="s">
        <v>261</v>
      </c>
      <c r="B2452" s="97"/>
      <c r="C2452" s="113" t="s">
        <v>179</v>
      </c>
      <c r="D2452" s="114"/>
      <c r="E2452" s="114"/>
      <c r="F2452" s="115"/>
      <c r="G2452" s="114" t="s">
        <v>180</v>
      </c>
      <c r="H2452" s="114"/>
      <c r="I2452" s="114"/>
      <c r="J2452" s="115"/>
    </row>
    <row r="2453" spans="1:10" ht="15.75" thickTop="1">
      <c r="B2453" s="42" t="s">
        <v>4</v>
      </c>
      <c r="C2453" s="43" t="s">
        <v>5</v>
      </c>
      <c r="D2453" s="44"/>
      <c r="E2453" s="44"/>
      <c r="F2453" s="116" t="s">
        <v>6</v>
      </c>
      <c r="G2453" s="43" t="s">
        <v>7</v>
      </c>
      <c r="H2453" s="46"/>
      <c r="I2453" s="46"/>
      <c r="J2453" s="117" t="s">
        <v>6</v>
      </c>
    </row>
    <row r="2454" spans="1:10" ht="15.75" thickBot="1">
      <c r="B2454" s="49" t="s">
        <v>8</v>
      </c>
      <c r="C2454" s="50" t="s">
        <v>8</v>
      </c>
      <c r="D2454" s="51" t="s">
        <v>9</v>
      </c>
      <c r="E2454" s="51"/>
      <c r="F2454" s="118" t="s">
        <v>9</v>
      </c>
      <c r="G2454" s="53" t="s">
        <v>8</v>
      </c>
      <c r="H2454" s="54" t="s">
        <v>9</v>
      </c>
      <c r="I2454" s="54"/>
      <c r="J2454" s="119" t="s">
        <v>9</v>
      </c>
    </row>
    <row r="2455" spans="1:10" ht="15.75" thickTop="1">
      <c r="C2455" s="43"/>
      <c r="E2455" s="57"/>
      <c r="F2455" s="58"/>
      <c r="G2455" s="57"/>
      <c r="I2455" s="57"/>
    </row>
    <row r="2456" spans="1:10">
      <c r="A2456" s="3" t="s">
        <v>10</v>
      </c>
      <c r="B2456" s="103">
        <v>522099</v>
      </c>
      <c r="C2456" s="62">
        <v>1674</v>
      </c>
      <c r="D2456" s="61">
        <v>3.2000000000000002E-3</v>
      </c>
      <c r="E2456" s="62">
        <v>30339</v>
      </c>
      <c r="F2456" s="63">
        <v>2.7000000000000001E-3</v>
      </c>
      <c r="G2456" s="62">
        <v>520425</v>
      </c>
      <c r="H2456" s="64">
        <v>0.99680000000000002</v>
      </c>
      <c r="I2456" s="62">
        <v>11097505</v>
      </c>
      <c r="J2456" s="65">
        <v>0.99729999999999996</v>
      </c>
    </row>
    <row r="2457" spans="1:10">
      <c r="A2457" s="3" t="s">
        <v>11</v>
      </c>
      <c r="B2457" s="103">
        <v>48928</v>
      </c>
      <c r="C2457" s="57">
        <v>590</v>
      </c>
      <c r="D2457" s="61">
        <v>1.21E-2</v>
      </c>
      <c r="E2457" s="62">
        <v>32320</v>
      </c>
      <c r="F2457" s="63">
        <v>2.0500000000000001E-2</v>
      </c>
      <c r="G2457" s="62">
        <v>48338</v>
      </c>
      <c r="H2457" s="64">
        <v>0.9879</v>
      </c>
      <c r="I2457" s="62">
        <v>1546365</v>
      </c>
      <c r="J2457" s="65">
        <v>0.97950000000000004</v>
      </c>
    </row>
    <row r="2458" spans="1:10">
      <c r="A2458" s="3" t="s">
        <v>12</v>
      </c>
      <c r="B2458" s="103">
        <v>11234</v>
      </c>
      <c r="C2458" s="62">
        <v>2364</v>
      </c>
      <c r="D2458" s="61">
        <v>0.2104</v>
      </c>
      <c r="E2458" s="62">
        <v>1781528</v>
      </c>
      <c r="F2458" s="63">
        <v>0.34039999999999998</v>
      </c>
      <c r="G2458" s="62">
        <v>8870</v>
      </c>
      <c r="H2458" s="64">
        <v>0.78959999999999997</v>
      </c>
      <c r="I2458" s="62">
        <v>3452472</v>
      </c>
      <c r="J2458" s="65">
        <v>0.65959999999999996</v>
      </c>
    </row>
    <row r="2459" spans="1:10" ht="21" customHeight="1">
      <c r="A2459" s="3" t="s">
        <v>13</v>
      </c>
      <c r="B2459" s="103">
        <v>453</v>
      </c>
      <c r="C2459" s="57">
        <v>299</v>
      </c>
      <c r="D2459" s="61">
        <v>0.66</v>
      </c>
      <c r="E2459" s="62">
        <v>7250019</v>
      </c>
      <c r="F2459" s="63">
        <v>0.85809999999999997</v>
      </c>
      <c r="G2459" s="57">
        <v>154</v>
      </c>
      <c r="H2459" s="64">
        <v>0.34</v>
      </c>
      <c r="I2459" s="62">
        <v>1198616</v>
      </c>
      <c r="J2459" s="65">
        <v>0.1419</v>
      </c>
    </row>
    <row r="2460" spans="1:10" ht="15.75" thickBot="1">
      <c r="A2460" s="3" t="s">
        <v>181</v>
      </c>
      <c r="B2460" s="103">
        <v>434</v>
      </c>
      <c r="C2460" s="105">
        <v>10</v>
      </c>
      <c r="D2460" s="106">
        <v>2.3E-2</v>
      </c>
      <c r="E2460" s="62">
        <v>3991</v>
      </c>
      <c r="F2460" s="66">
        <v>0.21360000000000001</v>
      </c>
      <c r="G2460" s="50">
        <v>424</v>
      </c>
      <c r="H2460" s="68">
        <v>0.97699999999999998</v>
      </c>
      <c r="I2460" s="62">
        <v>14694</v>
      </c>
      <c r="J2460" s="104">
        <v>0.78639999999999999</v>
      </c>
    </row>
    <row r="2461" spans="1:10" ht="17.25" thickTop="1" thickBot="1">
      <c r="A2461" s="34" t="s">
        <v>175</v>
      </c>
      <c r="B2461" s="84">
        <f>SUM(B2456:B2460)</f>
        <v>583148</v>
      </c>
      <c r="C2461" s="74">
        <f>SUM(C2456:C2460)</f>
        <v>4937</v>
      </c>
      <c r="D2461" s="107">
        <v>8.5000000000000006E-3</v>
      </c>
      <c r="E2461" s="74">
        <f>SUM(E2456:E2460)</f>
        <v>9098197</v>
      </c>
      <c r="F2461" s="73">
        <v>0.34449999999999997</v>
      </c>
      <c r="G2461" s="74">
        <f>SUM(G2456:G2460)</f>
        <v>578211</v>
      </c>
      <c r="H2461" s="75">
        <v>0.99150000000000005</v>
      </c>
      <c r="I2461" s="74">
        <f>SUM(I2456:I2460)</f>
        <v>17309652</v>
      </c>
      <c r="J2461" s="76">
        <v>0.65549999999999997</v>
      </c>
    </row>
    <row r="2462" spans="1:10" ht="16.5" thickBot="1">
      <c r="A2462" s="22"/>
      <c r="B2462" s="111" t="s">
        <v>249</v>
      </c>
      <c r="C2462" s="22"/>
      <c r="D2462" s="22"/>
      <c r="E2462" s="22"/>
      <c r="F2462" s="22"/>
      <c r="G2462" s="22"/>
      <c r="H2462" s="22"/>
      <c r="I2462" s="22"/>
      <c r="J2462" s="112"/>
    </row>
    <row r="2463" spans="1:10" ht="17.25" thickTop="1" thickBot="1">
      <c r="A2463" s="1" t="s">
        <v>262</v>
      </c>
      <c r="B2463" s="97"/>
      <c r="C2463" s="113" t="s">
        <v>179</v>
      </c>
      <c r="D2463" s="114"/>
      <c r="E2463" s="114"/>
      <c r="F2463" s="115"/>
      <c r="G2463" s="114" t="s">
        <v>180</v>
      </c>
      <c r="H2463" s="114"/>
      <c r="I2463" s="114"/>
      <c r="J2463" s="115"/>
    </row>
    <row r="2464" spans="1:10" ht="15.75" thickTop="1">
      <c r="B2464" s="42" t="s">
        <v>4</v>
      </c>
      <c r="C2464" s="43" t="s">
        <v>5</v>
      </c>
      <c r="D2464" s="44"/>
      <c r="E2464" s="44"/>
      <c r="F2464" s="116" t="s">
        <v>6</v>
      </c>
      <c r="G2464" s="43" t="s">
        <v>7</v>
      </c>
      <c r="H2464" s="46"/>
      <c r="I2464" s="46"/>
      <c r="J2464" s="117" t="s">
        <v>6</v>
      </c>
    </row>
    <row r="2465" spans="1:10" ht="15.75" thickBot="1">
      <c r="B2465" s="49" t="s">
        <v>8</v>
      </c>
      <c r="C2465" s="50" t="s">
        <v>8</v>
      </c>
      <c r="D2465" s="51" t="s">
        <v>9</v>
      </c>
      <c r="E2465" s="51"/>
      <c r="F2465" s="118" t="s">
        <v>9</v>
      </c>
      <c r="G2465" s="53" t="s">
        <v>8</v>
      </c>
      <c r="H2465" s="54" t="s">
        <v>9</v>
      </c>
      <c r="I2465" s="54"/>
      <c r="J2465" s="119" t="s">
        <v>9</v>
      </c>
    </row>
    <row r="2466" spans="1:10" ht="15.75" thickTop="1">
      <c r="C2466" s="43"/>
      <c r="F2466" s="120"/>
      <c r="G2466" s="57"/>
      <c r="J2466" s="121"/>
    </row>
    <row r="2467" spans="1:10">
      <c r="A2467" s="3" t="s">
        <v>10</v>
      </c>
      <c r="B2467" s="103">
        <v>521271</v>
      </c>
      <c r="C2467" s="62">
        <v>1658</v>
      </c>
      <c r="D2467" s="61">
        <v>3.2000000000000002E-3</v>
      </c>
      <c r="E2467" s="61"/>
      <c r="F2467" s="122">
        <v>2.7000000000000001E-3</v>
      </c>
      <c r="G2467" s="62">
        <v>519613</v>
      </c>
      <c r="H2467" s="64">
        <v>0.99680000000000002</v>
      </c>
      <c r="I2467" s="64"/>
      <c r="J2467" s="123">
        <v>0.99729999999999996</v>
      </c>
    </row>
    <row r="2468" spans="1:10">
      <c r="A2468" s="3" t="s">
        <v>11</v>
      </c>
      <c r="B2468" s="103">
        <v>48882</v>
      </c>
      <c r="C2468" s="57">
        <v>587</v>
      </c>
      <c r="D2468" s="61">
        <v>1.2E-2</v>
      </c>
      <c r="E2468" s="61"/>
      <c r="F2468" s="122">
        <v>1.9800000000000002E-2</v>
      </c>
      <c r="G2468" s="62">
        <v>48295</v>
      </c>
      <c r="H2468" s="64">
        <v>0.98799999999999999</v>
      </c>
      <c r="I2468" s="64"/>
      <c r="J2468" s="123">
        <v>0.98019999999999996</v>
      </c>
    </row>
    <row r="2469" spans="1:10">
      <c r="A2469" s="3" t="s">
        <v>12</v>
      </c>
      <c r="B2469" s="103">
        <v>11220</v>
      </c>
      <c r="C2469" s="62">
        <v>2360</v>
      </c>
      <c r="D2469" s="61">
        <v>0.21029999999999999</v>
      </c>
      <c r="E2469" s="61"/>
      <c r="F2469" s="122">
        <v>0.34510000000000002</v>
      </c>
      <c r="G2469" s="62">
        <v>8860</v>
      </c>
      <c r="H2469" s="64">
        <v>0.78969999999999996</v>
      </c>
      <c r="I2469" s="64"/>
      <c r="J2469" s="123">
        <v>0.65490000000000004</v>
      </c>
    </row>
    <row r="2470" spans="1:10" ht="21" customHeight="1">
      <c r="A2470" s="3" t="s">
        <v>13</v>
      </c>
      <c r="B2470" s="103">
        <v>453</v>
      </c>
      <c r="C2470" s="57">
        <v>295</v>
      </c>
      <c r="D2470" s="61">
        <v>0.6512</v>
      </c>
      <c r="E2470" s="61"/>
      <c r="F2470" s="122">
        <v>0.85780000000000001</v>
      </c>
      <c r="G2470" s="57">
        <v>158</v>
      </c>
      <c r="H2470" s="64">
        <v>0.3488</v>
      </c>
      <c r="I2470" s="64"/>
      <c r="J2470" s="123">
        <v>0.14219999999999999</v>
      </c>
    </row>
    <row r="2471" spans="1:10" ht="15.75" thickBot="1">
      <c r="A2471" s="3" t="s">
        <v>181</v>
      </c>
      <c r="B2471" s="103">
        <v>437</v>
      </c>
      <c r="C2471" s="105">
        <v>9</v>
      </c>
      <c r="D2471" s="106">
        <v>2.06E-2</v>
      </c>
      <c r="E2471" s="106"/>
      <c r="F2471" s="124">
        <v>0.2077</v>
      </c>
      <c r="G2471" s="50">
        <v>428</v>
      </c>
      <c r="H2471" s="68">
        <v>0.97940000000000005</v>
      </c>
      <c r="I2471" s="64"/>
      <c r="J2471" s="125">
        <v>0.7923</v>
      </c>
    </row>
    <row r="2472" spans="1:10" ht="17.25" thickTop="1" thickBot="1">
      <c r="A2472" s="34" t="s">
        <v>175</v>
      </c>
      <c r="B2472" s="84">
        <f>SUM(B2467:B2471)</f>
        <v>582263</v>
      </c>
      <c r="C2472" s="74">
        <f>SUM(C2467:C2471)</f>
        <v>4909</v>
      </c>
      <c r="D2472" s="107">
        <v>8.3999999999999995E-3</v>
      </c>
      <c r="E2472" s="107"/>
      <c r="F2472" s="73">
        <v>0.34200000000000003</v>
      </c>
      <c r="G2472" s="74">
        <f>SUM(G2467:G2471)</f>
        <v>577354</v>
      </c>
      <c r="H2472" s="75">
        <v>0.99160000000000004</v>
      </c>
      <c r="I2472" s="75"/>
      <c r="J2472" s="76">
        <v>0.65800000000000003</v>
      </c>
    </row>
    <row r="2473" spans="1:10" ht="16.5" thickBot="1">
      <c r="A2473" s="22"/>
      <c r="B2473" s="111" t="s">
        <v>249</v>
      </c>
      <c r="C2473" s="22"/>
      <c r="D2473" s="22"/>
      <c r="E2473" s="22"/>
      <c r="F2473" s="22"/>
      <c r="G2473" s="22"/>
      <c r="H2473" s="22"/>
      <c r="I2473" s="22"/>
      <c r="J2473" s="112"/>
    </row>
    <row r="2474" spans="1:10" ht="17.25" thickTop="1" thickBot="1">
      <c r="A2474" s="1" t="s">
        <v>263</v>
      </c>
      <c r="B2474" s="97"/>
      <c r="C2474" s="113" t="s">
        <v>179</v>
      </c>
      <c r="D2474" s="114"/>
      <c r="E2474" s="114"/>
      <c r="F2474" s="115"/>
      <c r="G2474" s="114" t="s">
        <v>180</v>
      </c>
      <c r="H2474" s="114"/>
      <c r="I2474" s="114"/>
      <c r="J2474" s="115"/>
    </row>
    <row r="2475" spans="1:10" ht="15.75" thickTop="1">
      <c r="B2475" s="42" t="s">
        <v>4</v>
      </c>
      <c r="C2475" s="43" t="s">
        <v>5</v>
      </c>
      <c r="D2475" s="44"/>
      <c r="E2475" s="44"/>
      <c r="F2475" s="116" t="s">
        <v>6</v>
      </c>
      <c r="G2475" s="43" t="s">
        <v>7</v>
      </c>
      <c r="H2475" s="46"/>
      <c r="I2475" s="46"/>
      <c r="J2475" s="117" t="s">
        <v>6</v>
      </c>
    </row>
    <row r="2476" spans="1:10" ht="15.75" thickBot="1">
      <c r="B2476" s="49" t="s">
        <v>8</v>
      </c>
      <c r="C2476" s="50" t="s">
        <v>8</v>
      </c>
      <c r="D2476" s="51" t="s">
        <v>9</v>
      </c>
      <c r="E2476" s="51"/>
      <c r="F2476" s="118" t="s">
        <v>9</v>
      </c>
      <c r="G2476" s="53" t="s">
        <v>8</v>
      </c>
      <c r="H2476" s="54" t="s">
        <v>9</v>
      </c>
      <c r="I2476" s="54"/>
      <c r="J2476" s="119" t="s">
        <v>9</v>
      </c>
    </row>
    <row r="2477" spans="1:10" ht="15.75" thickTop="1">
      <c r="C2477" s="43"/>
      <c r="F2477" s="120"/>
      <c r="G2477" s="57"/>
      <c r="J2477" s="121"/>
    </row>
    <row r="2478" spans="1:10">
      <c r="A2478" s="3" t="s">
        <v>10</v>
      </c>
      <c r="B2478" s="103">
        <v>520178</v>
      </c>
      <c r="C2478" s="62">
        <v>1654</v>
      </c>
      <c r="D2478" s="61">
        <v>3.2000000000000002E-3</v>
      </c>
      <c r="E2478" s="61"/>
      <c r="F2478" s="122">
        <v>2.7000000000000001E-3</v>
      </c>
      <c r="G2478" s="62">
        <v>518524</v>
      </c>
      <c r="H2478" s="64">
        <v>0.99680000000000002</v>
      </c>
      <c r="I2478" s="64"/>
      <c r="J2478" s="123">
        <v>0.99729999999999996</v>
      </c>
    </row>
    <row r="2479" spans="1:10">
      <c r="A2479" s="3" t="s">
        <v>11</v>
      </c>
      <c r="B2479" s="103">
        <v>48799</v>
      </c>
      <c r="C2479" s="57">
        <v>600</v>
      </c>
      <c r="D2479" s="61">
        <v>1.23E-2</v>
      </c>
      <c r="E2479" s="61"/>
      <c r="F2479" s="122">
        <v>1.9300000000000001E-2</v>
      </c>
      <c r="G2479" s="62">
        <v>48199</v>
      </c>
      <c r="H2479" s="64">
        <v>0.98770000000000002</v>
      </c>
      <c r="I2479" s="64"/>
      <c r="J2479" s="123">
        <v>0.98070000000000002</v>
      </c>
    </row>
    <row r="2480" spans="1:10">
      <c r="A2480" s="3" t="s">
        <v>12</v>
      </c>
      <c r="B2480" s="103">
        <v>11187</v>
      </c>
      <c r="C2480" s="62">
        <v>2332</v>
      </c>
      <c r="D2480" s="61">
        <v>0.20849999999999999</v>
      </c>
      <c r="E2480" s="61"/>
      <c r="F2480" s="122">
        <v>0.34</v>
      </c>
      <c r="G2480" s="62">
        <v>8855</v>
      </c>
      <c r="H2480" s="64">
        <v>0.79149999999999998</v>
      </c>
      <c r="I2480" s="64"/>
      <c r="J2480" s="123">
        <v>0.66</v>
      </c>
    </row>
    <row r="2481" spans="1:10" ht="21" customHeight="1">
      <c r="A2481" s="3" t="s">
        <v>13</v>
      </c>
      <c r="B2481" s="103">
        <v>450</v>
      </c>
      <c r="C2481" s="57">
        <v>305</v>
      </c>
      <c r="D2481" s="61">
        <v>0.67779999999999996</v>
      </c>
      <c r="E2481" s="61"/>
      <c r="F2481" s="122">
        <v>0.8921</v>
      </c>
      <c r="G2481" s="57">
        <v>145</v>
      </c>
      <c r="H2481" s="64">
        <v>0.32219999999999999</v>
      </c>
      <c r="I2481" s="64"/>
      <c r="J2481" s="123">
        <v>0.1079</v>
      </c>
    </row>
    <row r="2482" spans="1:10" ht="15.75" thickBot="1">
      <c r="A2482" s="3" t="s">
        <v>181</v>
      </c>
      <c r="B2482" s="103">
        <v>422</v>
      </c>
      <c r="C2482" s="105">
        <v>9</v>
      </c>
      <c r="D2482" s="106">
        <v>2.1299999999999999E-2</v>
      </c>
      <c r="E2482" s="106"/>
      <c r="F2482" s="124">
        <v>0.56589999999999996</v>
      </c>
      <c r="G2482" s="50">
        <v>413</v>
      </c>
      <c r="H2482" s="68">
        <v>0.97870000000000001</v>
      </c>
      <c r="I2482" s="64"/>
      <c r="J2482" s="125">
        <v>0.43409999999999999</v>
      </c>
    </row>
    <row r="2483" spans="1:10" ht="17.25" thickTop="1" thickBot="1">
      <c r="A2483" s="34" t="s">
        <v>175</v>
      </c>
      <c r="B2483" s="84">
        <f>SUM(B2478:B2482)</f>
        <v>581036</v>
      </c>
      <c r="C2483" s="74">
        <f>SUM(C2478:C2482)</f>
        <v>4900</v>
      </c>
      <c r="D2483" s="107">
        <v>8.3999999999999995E-3</v>
      </c>
      <c r="E2483" s="107"/>
      <c r="F2483" s="73">
        <v>0.3634</v>
      </c>
      <c r="G2483" s="74">
        <f>SUM(G2478:G2482)</f>
        <v>576136</v>
      </c>
      <c r="H2483" s="75">
        <v>0.99160000000000004</v>
      </c>
      <c r="I2483" s="75"/>
      <c r="J2483" s="76">
        <v>0.63660000000000005</v>
      </c>
    </row>
    <row r="2484" spans="1:10" ht="16.5" thickBot="1">
      <c r="A2484" s="22"/>
      <c r="B2484" s="111" t="s">
        <v>249</v>
      </c>
      <c r="C2484" s="22"/>
      <c r="D2484" s="22"/>
      <c r="E2484" s="22"/>
      <c r="F2484" s="22"/>
      <c r="G2484" s="22"/>
      <c r="H2484" s="22"/>
      <c r="I2484" s="22"/>
      <c r="J2484" s="112"/>
    </row>
    <row r="2485" spans="1:10" ht="17.25" thickTop="1" thickBot="1">
      <c r="A2485" s="1" t="s">
        <v>264</v>
      </c>
      <c r="B2485" s="97"/>
      <c r="C2485" s="113" t="s">
        <v>179</v>
      </c>
      <c r="D2485" s="114"/>
      <c r="E2485" s="114"/>
      <c r="F2485" s="115"/>
      <c r="G2485" s="114" t="s">
        <v>180</v>
      </c>
      <c r="H2485" s="114"/>
      <c r="I2485" s="114"/>
      <c r="J2485" s="115"/>
    </row>
    <row r="2486" spans="1:10" ht="15.75" thickTop="1">
      <c r="B2486" s="42" t="s">
        <v>4</v>
      </c>
      <c r="C2486" s="43" t="s">
        <v>5</v>
      </c>
      <c r="D2486" s="44"/>
      <c r="E2486" s="44"/>
      <c r="F2486" s="116" t="s">
        <v>6</v>
      </c>
      <c r="G2486" s="43" t="s">
        <v>7</v>
      </c>
      <c r="H2486" s="46"/>
      <c r="I2486" s="46"/>
      <c r="J2486" s="117" t="s">
        <v>6</v>
      </c>
    </row>
    <row r="2487" spans="1:10" ht="15.75" thickBot="1">
      <c r="B2487" s="49" t="s">
        <v>8</v>
      </c>
      <c r="C2487" s="50" t="s">
        <v>8</v>
      </c>
      <c r="D2487" s="51" t="s">
        <v>9</v>
      </c>
      <c r="E2487" s="51"/>
      <c r="F2487" s="118" t="s">
        <v>9</v>
      </c>
      <c r="G2487" s="53" t="s">
        <v>8</v>
      </c>
      <c r="H2487" s="54" t="s">
        <v>9</v>
      </c>
      <c r="I2487" s="54"/>
      <c r="J2487" s="119" t="s">
        <v>9</v>
      </c>
    </row>
    <row r="2488" spans="1:10" ht="15.75" thickTop="1">
      <c r="C2488" s="43"/>
      <c r="F2488" s="120"/>
      <c r="G2488" s="57"/>
      <c r="J2488" s="121"/>
    </row>
    <row r="2489" spans="1:10">
      <c r="A2489" s="3" t="s">
        <v>10</v>
      </c>
      <c r="B2489" s="103">
        <v>519084</v>
      </c>
      <c r="C2489" s="62">
        <v>1652</v>
      </c>
      <c r="D2489" s="61">
        <v>3.2000000000000002E-3</v>
      </c>
      <c r="E2489" s="61"/>
      <c r="F2489" s="122">
        <v>2.7000000000000001E-3</v>
      </c>
      <c r="G2489" s="62">
        <v>517432</v>
      </c>
      <c r="H2489" s="64">
        <v>0.99680000000000002</v>
      </c>
      <c r="I2489" s="64"/>
      <c r="J2489" s="123">
        <v>0.99729999999999996</v>
      </c>
    </row>
    <row r="2490" spans="1:10">
      <c r="A2490" s="3" t="s">
        <v>11</v>
      </c>
      <c r="B2490" s="103">
        <v>48792</v>
      </c>
      <c r="C2490" s="57">
        <v>608</v>
      </c>
      <c r="D2490" s="61">
        <v>1.2500000000000001E-2</v>
      </c>
      <c r="E2490" s="61"/>
      <c r="F2490" s="122">
        <v>1.9099999999999999E-2</v>
      </c>
      <c r="G2490" s="62">
        <v>48184</v>
      </c>
      <c r="H2490" s="64">
        <v>0.98750000000000004</v>
      </c>
      <c r="I2490" s="64"/>
      <c r="J2490" s="123">
        <v>0.98089999999999999</v>
      </c>
    </row>
    <row r="2491" spans="1:10">
      <c r="A2491" s="3" t="s">
        <v>12</v>
      </c>
      <c r="B2491" s="103">
        <v>11149</v>
      </c>
      <c r="C2491" s="62">
        <v>2366</v>
      </c>
      <c r="D2491" s="61">
        <v>0.2122</v>
      </c>
      <c r="E2491" s="61"/>
      <c r="F2491" s="122">
        <v>0.33310000000000001</v>
      </c>
      <c r="G2491" s="62">
        <v>8783</v>
      </c>
      <c r="H2491" s="64">
        <v>0.78779999999999994</v>
      </c>
      <c r="I2491" s="64"/>
      <c r="J2491" s="123">
        <v>0.66690000000000005</v>
      </c>
    </row>
    <row r="2492" spans="1:10" ht="21" customHeight="1">
      <c r="A2492" s="3" t="s">
        <v>13</v>
      </c>
      <c r="B2492" s="103">
        <v>452</v>
      </c>
      <c r="C2492" s="57">
        <v>311</v>
      </c>
      <c r="D2492" s="61">
        <v>0.68810000000000004</v>
      </c>
      <c r="E2492" s="61"/>
      <c r="F2492" s="122">
        <v>0.91039999999999999</v>
      </c>
      <c r="G2492" s="57">
        <v>141</v>
      </c>
      <c r="H2492" s="64">
        <v>0.31190000000000001</v>
      </c>
      <c r="I2492" s="64"/>
      <c r="J2492" s="123">
        <v>8.9599999999999999E-2</v>
      </c>
    </row>
    <row r="2493" spans="1:10" ht="15.75" thickBot="1">
      <c r="A2493" s="3" t="s">
        <v>181</v>
      </c>
      <c r="B2493" s="103">
        <v>432</v>
      </c>
      <c r="C2493" s="105">
        <v>20</v>
      </c>
      <c r="D2493" s="106">
        <v>4.6300000000000001E-2</v>
      </c>
      <c r="E2493" s="106"/>
      <c r="F2493" s="124">
        <v>0.55779999999999996</v>
      </c>
      <c r="G2493" s="50">
        <v>412</v>
      </c>
      <c r="H2493" s="68">
        <v>0.95369999999999999</v>
      </c>
      <c r="I2493" s="64"/>
      <c r="J2493" s="125">
        <v>0.44219999999999998</v>
      </c>
    </row>
    <row r="2494" spans="1:10" ht="17.25" thickTop="1" thickBot="1">
      <c r="A2494" s="34" t="s">
        <v>175</v>
      </c>
      <c r="B2494" s="84">
        <f>SUM(B2489:B2493)</f>
        <v>579909</v>
      </c>
      <c r="C2494" s="74">
        <f>SUM(C2489:C2493)</f>
        <v>4957</v>
      </c>
      <c r="D2494" s="107">
        <v>8.5000000000000006E-3</v>
      </c>
      <c r="E2494" s="107"/>
      <c r="F2494" s="73">
        <v>0.40589999999999998</v>
      </c>
      <c r="G2494" s="74">
        <f>SUM(G2489:G2493)</f>
        <v>574952</v>
      </c>
      <c r="H2494" s="75">
        <v>0.99150000000000005</v>
      </c>
      <c r="I2494" s="75"/>
      <c r="J2494" s="76">
        <v>0.59409999999999996</v>
      </c>
    </row>
    <row r="2495" spans="1:10" ht="16.5" thickBot="1">
      <c r="A2495" s="22"/>
      <c r="B2495" s="111" t="s">
        <v>249</v>
      </c>
      <c r="C2495" s="22"/>
      <c r="D2495" s="22"/>
      <c r="E2495" s="22"/>
      <c r="F2495" s="22"/>
      <c r="G2495" s="22"/>
      <c r="H2495" s="22"/>
      <c r="I2495" s="22"/>
      <c r="J2495" s="112"/>
    </row>
    <row r="2496" spans="1:10" ht="17.25" thickTop="1" thickBot="1">
      <c r="A2496" s="1" t="s">
        <v>265</v>
      </c>
      <c r="B2496" s="97"/>
      <c r="C2496" s="113" t="s">
        <v>179</v>
      </c>
      <c r="D2496" s="114"/>
      <c r="E2496" s="114"/>
      <c r="F2496" s="115"/>
      <c r="G2496" s="114" t="s">
        <v>180</v>
      </c>
      <c r="H2496" s="114"/>
      <c r="I2496" s="114"/>
      <c r="J2496" s="115"/>
    </row>
    <row r="2497" spans="1:10" ht="15.75" thickTop="1">
      <c r="B2497" s="42" t="s">
        <v>4</v>
      </c>
      <c r="C2497" s="43" t="s">
        <v>5</v>
      </c>
      <c r="D2497" s="44"/>
      <c r="E2497" s="44"/>
      <c r="F2497" s="116" t="s">
        <v>6</v>
      </c>
      <c r="G2497" s="43" t="s">
        <v>7</v>
      </c>
      <c r="H2497" s="46"/>
      <c r="I2497" s="46"/>
      <c r="J2497" s="117" t="s">
        <v>6</v>
      </c>
    </row>
    <row r="2498" spans="1:10" ht="15.75" thickBot="1">
      <c r="B2498" s="49" t="s">
        <v>8</v>
      </c>
      <c r="C2498" s="50" t="s">
        <v>8</v>
      </c>
      <c r="D2498" s="51" t="s">
        <v>9</v>
      </c>
      <c r="E2498" s="51"/>
      <c r="F2498" s="118" t="s">
        <v>9</v>
      </c>
      <c r="G2498" s="53" t="s">
        <v>8</v>
      </c>
      <c r="H2498" s="54" t="s">
        <v>9</v>
      </c>
      <c r="I2498" s="54"/>
      <c r="J2498" s="119" t="s">
        <v>9</v>
      </c>
    </row>
    <row r="2499" spans="1:10" ht="15.75" thickTop="1">
      <c r="C2499" s="43"/>
      <c r="F2499" s="120"/>
      <c r="G2499" s="57"/>
      <c r="J2499" s="121"/>
    </row>
    <row r="2500" spans="1:10">
      <c r="A2500" s="3" t="s">
        <v>10</v>
      </c>
      <c r="B2500" s="103">
        <v>518404</v>
      </c>
      <c r="C2500" s="62">
        <v>1620</v>
      </c>
      <c r="D2500" s="61">
        <v>3.0999999999999999E-3</v>
      </c>
      <c r="E2500" s="61"/>
      <c r="F2500" s="122">
        <v>2.5000000000000001E-3</v>
      </c>
      <c r="G2500" s="62">
        <v>516784</v>
      </c>
      <c r="H2500" s="64">
        <v>0.99690000000000001</v>
      </c>
      <c r="I2500" s="64"/>
      <c r="J2500" s="123">
        <v>0.99750000000000005</v>
      </c>
    </row>
    <row r="2501" spans="1:10">
      <c r="A2501" s="3" t="s">
        <v>11</v>
      </c>
      <c r="B2501" s="103">
        <v>48792</v>
      </c>
      <c r="C2501" s="57">
        <v>600</v>
      </c>
      <c r="D2501" s="61">
        <v>1.23E-2</v>
      </c>
      <c r="E2501" s="61"/>
      <c r="F2501" s="122">
        <v>1.9099999999999999E-2</v>
      </c>
      <c r="G2501" s="62">
        <v>48192</v>
      </c>
      <c r="H2501" s="64">
        <v>0.98770000000000002</v>
      </c>
      <c r="I2501" s="64"/>
      <c r="J2501" s="123">
        <v>0.98089999999999999</v>
      </c>
    </row>
    <row r="2502" spans="1:10">
      <c r="A2502" s="3" t="s">
        <v>12</v>
      </c>
      <c r="B2502" s="103">
        <v>11132</v>
      </c>
      <c r="C2502" s="62">
        <v>2414</v>
      </c>
      <c r="D2502" s="61">
        <v>0.21690000000000001</v>
      </c>
      <c r="E2502" s="61"/>
      <c r="F2502" s="122">
        <v>0.32919999999999999</v>
      </c>
      <c r="G2502" s="62">
        <v>8718</v>
      </c>
      <c r="H2502" s="64">
        <v>0.78310000000000002</v>
      </c>
      <c r="I2502" s="64"/>
      <c r="J2502" s="123">
        <v>0.67079999999999995</v>
      </c>
    </row>
    <row r="2503" spans="1:10" ht="21" customHeight="1">
      <c r="A2503" s="3" t="s">
        <v>13</v>
      </c>
      <c r="B2503" s="103">
        <v>451</v>
      </c>
      <c r="C2503" s="57">
        <v>313</v>
      </c>
      <c r="D2503" s="61">
        <v>0.69399999999999995</v>
      </c>
      <c r="E2503" s="61"/>
      <c r="F2503" s="122">
        <v>0.91139999999999999</v>
      </c>
      <c r="G2503" s="57">
        <v>138</v>
      </c>
      <c r="H2503" s="64">
        <v>0.30599999999999999</v>
      </c>
      <c r="I2503" s="64"/>
      <c r="J2503" s="123">
        <v>8.8599999999999998E-2</v>
      </c>
    </row>
    <row r="2504" spans="1:10" ht="15.75" thickBot="1">
      <c r="A2504" s="3" t="s">
        <v>181</v>
      </c>
      <c r="B2504" s="103">
        <v>433</v>
      </c>
      <c r="C2504" s="105">
        <v>21</v>
      </c>
      <c r="D2504" s="106">
        <v>4.8500000000000001E-2</v>
      </c>
      <c r="E2504" s="106"/>
      <c r="F2504" s="124">
        <v>0.57369999999999999</v>
      </c>
      <c r="G2504" s="50">
        <v>412</v>
      </c>
      <c r="H2504" s="68">
        <v>0.95150000000000001</v>
      </c>
      <c r="I2504" s="64"/>
      <c r="J2504" s="125">
        <v>0.42630000000000001</v>
      </c>
    </row>
    <row r="2505" spans="1:10" ht="17.25" thickTop="1" thickBot="1">
      <c r="A2505" s="34" t="s">
        <v>175</v>
      </c>
      <c r="B2505" s="84">
        <f>SUM(B2500:B2504)</f>
        <v>579212</v>
      </c>
      <c r="C2505" s="74">
        <f>SUM(C2500:C2504)</f>
        <v>4968</v>
      </c>
      <c r="D2505" s="107">
        <v>8.6E-3</v>
      </c>
      <c r="E2505" s="107"/>
      <c r="F2505" s="73">
        <v>0.41520000000000001</v>
      </c>
      <c r="G2505" s="74">
        <f>SUM(G2500:G2504)</f>
        <v>574244</v>
      </c>
      <c r="H2505" s="75">
        <v>0.99139999999999995</v>
      </c>
      <c r="I2505" s="75"/>
      <c r="J2505" s="76">
        <v>0.58479999999999999</v>
      </c>
    </row>
    <row r="2506" spans="1:10" ht="16.5" thickBot="1">
      <c r="A2506" s="22"/>
      <c r="B2506" s="111" t="s">
        <v>249</v>
      </c>
      <c r="C2506" s="22"/>
      <c r="D2506" s="22"/>
      <c r="E2506" s="22"/>
      <c r="F2506" s="22"/>
      <c r="G2506" s="22"/>
      <c r="H2506" s="22"/>
      <c r="I2506" s="22"/>
      <c r="J2506" s="112"/>
    </row>
    <row r="2507" spans="1:10" ht="17.25" thickTop="1" thickBot="1">
      <c r="A2507" s="1" t="s">
        <v>266</v>
      </c>
      <c r="B2507" s="97"/>
      <c r="C2507" s="113" t="s">
        <v>179</v>
      </c>
      <c r="D2507" s="114"/>
      <c r="E2507" s="114"/>
      <c r="F2507" s="115"/>
      <c r="G2507" s="114" t="s">
        <v>180</v>
      </c>
      <c r="H2507" s="114"/>
      <c r="I2507" s="114"/>
      <c r="J2507" s="115"/>
    </row>
    <row r="2508" spans="1:10" ht="15.75" thickTop="1">
      <c r="B2508" s="42" t="s">
        <v>4</v>
      </c>
      <c r="C2508" s="43" t="s">
        <v>5</v>
      </c>
      <c r="D2508" s="44"/>
      <c r="E2508" s="44"/>
      <c r="F2508" s="116" t="s">
        <v>6</v>
      </c>
      <c r="G2508" s="43" t="s">
        <v>7</v>
      </c>
      <c r="H2508" s="46"/>
      <c r="I2508" s="46"/>
      <c r="J2508" s="117" t="s">
        <v>6</v>
      </c>
    </row>
    <row r="2509" spans="1:10" ht="15.75" thickBot="1">
      <c r="B2509" s="49" t="s">
        <v>8</v>
      </c>
      <c r="C2509" s="50" t="s">
        <v>8</v>
      </c>
      <c r="D2509" s="51" t="s">
        <v>9</v>
      </c>
      <c r="E2509" s="51"/>
      <c r="F2509" s="118" t="s">
        <v>9</v>
      </c>
      <c r="G2509" s="53" t="s">
        <v>8</v>
      </c>
      <c r="H2509" s="54" t="s">
        <v>9</v>
      </c>
      <c r="I2509" s="54"/>
      <c r="J2509" s="119" t="s">
        <v>9</v>
      </c>
    </row>
    <row r="2510" spans="1:10" ht="15.75" thickTop="1">
      <c r="C2510" s="43"/>
      <c r="F2510" s="120"/>
      <c r="G2510" s="57"/>
      <c r="J2510" s="121"/>
    </row>
    <row r="2511" spans="1:10">
      <c r="A2511" s="3" t="s">
        <v>10</v>
      </c>
      <c r="B2511" s="103">
        <v>517550</v>
      </c>
      <c r="C2511" s="62">
        <v>1593</v>
      </c>
      <c r="D2511" s="61">
        <v>3.0999999999999999E-3</v>
      </c>
      <c r="E2511" s="61"/>
      <c r="F2511" s="122">
        <v>2.3E-3</v>
      </c>
      <c r="G2511" s="62">
        <v>515957</v>
      </c>
      <c r="H2511" s="64">
        <v>0.99690000000000001</v>
      </c>
      <c r="I2511" s="64"/>
      <c r="J2511" s="123">
        <v>0.99770000000000003</v>
      </c>
    </row>
    <row r="2512" spans="1:10">
      <c r="A2512" s="3" t="s">
        <v>11</v>
      </c>
      <c r="B2512" s="103">
        <v>48943</v>
      </c>
      <c r="C2512" s="57">
        <v>595</v>
      </c>
      <c r="D2512" s="61">
        <v>1.2200000000000001E-2</v>
      </c>
      <c r="E2512" s="61"/>
      <c r="F2512" s="122">
        <v>1.9199999999999998E-2</v>
      </c>
      <c r="G2512" s="62">
        <v>48348</v>
      </c>
      <c r="H2512" s="64">
        <v>0.98780000000000001</v>
      </c>
      <c r="I2512" s="64"/>
      <c r="J2512" s="123">
        <v>0.98080000000000001</v>
      </c>
    </row>
    <row r="2513" spans="1:10">
      <c r="A2513" s="3" t="s">
        <v>12</v>
      </c>
      <c r="B2513" s="103">
        <v>10948</v>
      </c>
      <c r="C2513" s="62">
        <v>2441</v>
      </c>
      <c r="D2513" s="61">
        <v>0.223</v>
      </c>
      <c r="E2513" s="61"/>
      <c r="F2513" s="122">
        <v>0.32929999999999998</v>
      </c>
      <c r="G2513" s="62">
        <v>8507</v>
      </c>
      <c r="H2513" s="64">
        <v>0.77700000000000002</v>
      </c>
      <c r="I2513" s="64"/>
      <c r="J2513" s="123">
        <v>0.67069999999999996</v>
      </c>
    </row>
    <row r="2514" spans="1:10" ht="21" customHeight="1">
      <c r="A2514" s="3" t="s">
        <v>13</v>
      </c>
      <c r="B2514" s="103">
        <v>450</v>
      </c>
      <c r="C2514" s="57">
        <v>315</v>
      </c>
      <c r="D2514" s="61">
        <v>0.7</v>
      </c>
      <c r="E2514" s="61"/>
      <c r="F2514" s="122">
        <v>0.91100000000000003</v>
      </c>
      <c r="G2514" s="57">
        <v>135</v>
      </c>
      <c r="H2514" s="64">
        <v>0.3</v>
      </c>
      <c r="I2514" s="64"/>
      <c r="J2514" s="123">
        <v>8.8999999999999996E-2</v>
      </c>
    </row>
    <row r="2515" spans="1:10" ht="15.75" thickBot="1">
      <c r="A2515" s="3" t="s">
        <v>181</v>
      </c>
      <c r="B2515" s="103">
        <v>434</v>
      </c>
      <c r="C2515" s="105">
        <v>21</v>
      </c>
      <c r="D2515" s="106">
        <v>4.8399999999999999E-2</v>
      </c>
      <c r="E2515" s="106"/>
      <c r="F2515" s="124">
        <v>0.55959999999999999</v>
      </c>
      <c r="G2515" s="50">
        <v>413</v>
      </c>
      <c r="H2515" s="68">
        <v>0.9516</v>
      </c>
      <c r="I2515" s="64"/>
      <c r="J2515" s="125">
        <v>0.44040000000000001</v>
      </c>
    </row>
    <row r="2516" spans="1:10" ht="17.25" thickTop="1" thickBot="1">
      <c r="A2516" s="34" t="s">
        <v>175</v>
      </c>
      <c r="B2516" s="84">
        <f>SUM(B2511:B2515)</f>
        <v>578325</v>
      </c>
      <c r="C2516" s="74">
        <f>SUM(C2511:C2515)</f>
        <v>4965</v>
      </c>
      <c r="D2516" s="107">
        <v>8.6E-3</v>
      </c>
      <c r="E2516" s="107"/>
      <c r="F2516" s="73">
        <v>0.3836</v>
      </c>
      <c r="G2516" s="74">
        <f>SUM(G2511:G2515)</f>
        <v>573360</v>
      </c>
      <c r="H2516" s="75">
        <v>0.99139999999999995</v>
      </c>
      <c r="I2516" s="75"/>
      <c r="J2516" s="76">
        <v>0.61639999999999995</v>
      </c>
    </row>
    <row r="2517" spans="1:10" ht="16.5" thickBot="1">
      <c r="A2517" s="22"/>
      <c r="B2517" s="111" t="s">
        <v>249</v>
      </c>
      <c r="C2517" s="22"/>
      <c r="D2517" s="22"/>
      <c r="E2517" s="22"/>
      <c r="F2517" s="22"/>
      <c r="G2517" s="22"/>
      <c r="H2517" s="22"/>
      <c r="I2517" s="22"/>
      <c r="J2517" s="112"/>
    </row>
    <row r="2518" spans="1:10" ht="17.25" thickTop="1" thickBot="1">
      <c r="A2518" s="1" t="s">
        <v>267</v>
      </c>
      <c r="B2518" s="97"/>
      <c r="C2518" s="113" t="s">
        <v>179</v>
      </c>
      <c r="D2518" s="114"/>
      <c r="E2518" s="114"/>
      <c r="F2518" s="115"/>
      <c r="G2518" s="114" t="s">
        <v>180</v>
      </c>
      <c r="H2518" s="114"/>
      <c r="I2518" s="114"/>
      <c r="J2518" s="115"/>
    </row>
    <row r="2519" spans="1:10" ht="15.75" thickTop="1">
      <c r="B2519" s="42" t="s">
        <v>4</v>
      </c>
      <c r="C2519" s="43" t="s">
        <v>5</v>
      </c>
      <c r="D2519" s="44"/>
      <c r="E2519" s="44"/>
      <c r="F2519" s="116" t="s">
        <v>6</v>
      </c>
      <c r="G2519" s="43" t="s">
        <v>7</v>
      </c>
      <c r="H2519" s="46"/>
      <c r="I2519" s="46"/>
      <c r="J2519" s="117" t="s">
        <v>6</v>
      </c>
    </row>
    <row r="2520" spans="1:10" ht="15.75" thickBot="1">
      <c r="B2520" s="49" t="s">
        <v>8</v>
      </c>
      <c r="C2520" s="50" t="s">
        <v>8</v>
      </c>
      <c r="D2520" s="51" t="s">
        <v>9</v>
      </c>
      <c r="E2520" s="51"/>
      <c r="F2520" s="118" t="s">
        <v>9</v>
      </c>
      <c r="G2520" s="53" t="s">
        <v>8</v>
      </c>
      <c r="H2520" s="54" t="s">
        <v>9</v>
      </c>
      <c r="I2520" s="54"/>
      <c r="J2520" s="119" t="s">
        <v>9</v>
      </c>
    </row>
    <row r="2521" spans="1:10" ht="15.75" thickTop="1">
      <c r="C2521" s="43"/>
      <c r="F2521" s="120"/>
      <c r="G2521" s="57"/>
      <c r="J2521" s="121"/>
    </row>
    <row r="2522" spans="1:10">
      <c r="A2522" s="3" t="s">
        <v>10</v>
      </c>
      <c r="B2522" s="103">
        <v>516823</v>
      </c>
      <c r="C2522" s="62">
        <v>1577</v>
      </c>
      <c r="D2522" s="61">
        <v>3.0999999999999999E-3</v>
      </c>
      <c r="E2522" s="61"/>
      <c r="F2522" s="122">
        <v>2.3999999999999998E-3</v>
      </c>
      <c r="G2522" s="62">
        <v>515246</v>
      </c>
      <c r="H2522" s="64">
        <v>0.99690000000000001</v>
      </c>
      <c r="I2522" s="64"/>
      <c r="J2522" s="123">
        <v>0.99760000000000004</v>
      </c>
    </row>
    <row r="2523" spans="1:10">
      <c r="A2523" s="3" t="s">
        <v>11</v>
      </c>
      <c r="B2523" s="103">
        <v>48823</v>
      </c>
      <c r="C2523" s="57">
        <v>597</v>
      </c>
      <c r="D2523" s="61">
        <v>1.2200000000000001E-2</v>
      </c>
      <c r="E2523" s="61"/>
      <c r="F2523" s="122">
        <v>1.9E-2</v>
      </c>
      <c r="G2523" s="62">
        <v>48226</v>
      </c>
      <c r="H2523" s="64">
        <v>0.98780000000000001</v>
      </c>
      <c r="I2523" s="64"/>
      <c r="J2523" s="123">
        <v>0.98099999999999998</v>
      </c>
    </row>
    <row r="2524" spans="1:10">
      <c r="A2524" s="3" t="s">
        <v>12</v>
      </c>
      <c r="B2524" s="103">
        <v>10912</v>
      </c>
      <c r="C2524" s="62">
        <v>2445</v>
      </c>
      <c r="D2524" s="61">
        <v>0.22409999999999999</v>
      </c>
      <c r="E2524" s="61"/>
      <c r="F2524" s="122">
        <v>0.33710000000000001</v>
      </c>
      <c r="G2524" s="62">
        <v>8467</v>
      </c>
      <c r="H2524" s="64">
        <v>0.77590000000000003</v>
      </c>
      <c r="I2524" s="64"/>
      <c r="J2524" s="123">
        <v>0.66290000000000004</v>
      </c>
    </row>
    <row r="2525" spans="1:10" ht="21" customHeight="1">
      <c r="A2525" s="3" t="s">
        <v>13</v>
      </c>
      <c r="B2525" s="103">
        <v>447</v>
      </c>
      <c r="C2525" s="57">
        <v>310</v>
      </c>
      <c r="D2525" s="61">
        <v>0.69350000000000001</v>
      </c>
      <c r="E2525" s="61"/>
      <c r="F2525" s="122">
        <v>0.90310000000000001</v>
      </c>
      <c r="G2525" s="57">
        <v>137</v>
      </c>
      <c r="H2525" s="64">
        <v>0.30649999999999999</v>
      </c>
      <c r="I2525" s="64"/>
      <c r="J2525" s="123">
        <v>9.69E-2</v>
      </c>
    </row>
    <row r="2526" spans="1:10" ht="15.75" thickBot="1">
      <c r="A2526" s="3" t="s">
        <v>181</v>
      </c>
      <c r="B2526" s="103">
        <v>434</v>
      </c>
      <c r="C2526" s="105">
        <v>20</v>
      </c>
      <c r="D2526" s="106">
        <v>4.6100000000000002E-2</v>
      </c>
      <c r="E2526" s="106"/>
      <c r="F2526" s="124">
        <v>0.55930000000000002</v>
      </c>
      <c r="G2526" s="50">
        <v>414</v>
      </c>
      <c r="H2526" s="68">
        <v>0.95389999999999997</v>
      </c>
      <c r="I2526" s="64"/>
      <c r="J2526" s="125">
        <v>0.44069999999999998</v>
      </c>
    </row>
    <row r="2527" spans="1:10" ht="17.25" thickTop="1" thickBot="1">
      <c r="A2527" s="34" t="s">
        <v>175</v>
      </c>
      <c r="B2527" s="84">
        <f>SUM(B2522:B2526)</f>
        <v>577439</v>
      </c>
      <c r="C2527" s="74">
        <f>SUM(C2522:C2526)</f>
        <v>4949</v>
      </c>
      <c r="D2527" s="107">
        <v>8.6E-3</v>
      </c>
      <c r="E2527" s="107"/>
      <c r="F2527" s="73">
        <v>0.3846</v>
      </c>
      <c r="G2527" s="74">
        <f>SUM(G2522:G2526)</f>
        <v>572490</v>
      </c>
      <c r="H2527" s="75">
        <v>0.99139999999999995</v>
      </c>
      <c r="I2527" s="75"/>
      <c r="J2527" s="76">
        <v>0.61539999999999995</v>
      </c>
    </row>
    <row r="2528" spans="1:10" ht="16.5" thickBot="1">
      <c r="A2528" s="22"/>
      <c r="B2528" s="111" t="s">
        <v>249</v>
      </c>
      <c r="C2528" s="22"/>
      <c r="D2528" s="22"/>
      <c r="E2528" s="22"/>
      <c r="F2528" s="22"/>
      <c r="G2528" s="22"/>
      <c r="H2528" s="22"/>
      <c r="I2528" s="22"/>
      <c r="J2528" s="112"/>
    </row>
    <row r="2529" spans="1:10" ht="17.25" thickTop="1" thickBot="1">
      <c r="A2529" s="1" t="s">
        <v>268</v>
      </c>
      <c r="B2529" s="97"/>
      <c r="C2529" s="113" t="s">
        <v>179</v>
      </c>
      <c r="D2529" s="114"/>
      <c r="E2529" s="114"/>
      <c r="F2529" s="115"/>
      <c r="G2529" s="114" t="s">
        <v>180</v>
      </c>
      <c r="H2529" s="114"/>
      <c r="I2529" s="114"/>
      <c r="J2529" s="115"/>
    </row>
    <row r="2530" spans="1:10" ht="15.75" thickTop="1">
      <c r="B2530" s="42" t="s">
        <v>4</v>
      </c>
      <c r="C2530" s="43" t="s">
        <v>5</v>
      </c>
      <c r="D2530" s="44"/>
      <c r="E2530" s="44"/>
      <c r="F2530" s="116" t="s">
        <v>6</v>
      </c>
      <c r="G2530" s="43" t="s">
        <v>7</v>
      </c>
      <c r="H2530" s="46"/>
      <c r="I2530" s="46"/>
      <c r="J2530" s="117" t="s">
        <v>6</v>
      </c>
    </row>
    <row r="2531" spans="1:10" ht="15.75" thickBot="1">
      <c r="B2531" s="49" t="s">
        <v>8</v>
      </c>
      <c r="C2531" s="50" t="s">
        <v>8</v>
      </c>
      <c r="D2531" s="51" t="s">
        <v>9</v>
      </c>
      <c r="E2531" s="51"/>
      <c r="F2531" s="118" t="s">
        <v>9</v>
      </c>
      <c r="G2531" s="53" t="s">
        <v>8</v>
      </c>
      <c r="H2531" s="54" t="s">
        <v>9</v>
      </c>
      <c r="I2531" s="54"/>
      <c r="J2531" s="119" t="s">
        <v>9</v>
      </c>
    </row>
    <row r="2532" spans="1:10" ht="15.75" thickTop="1">
      <c r="C2532" s="43"/>
      <c r="F2532" s="120"/>
      <c r="G2532" s="57"/>
      <c r="J2532" s="121"/>
    </row>
    <row r="2533" spans="1:10">
      <c r="A2533" s="3" t="s">
        <v>10</v>
      </c>
      <c r="B2533" s="103">
        <v>516378</v>
      </c>
      <c r="C2533" s="62">
        <v>1536</v>
      </c>
      <c r="D2533" s="61">
        <v>3.0000000000000001E-3</v>
      </c>
      <c r="E2533" s="61"/>
      <c r="F2533" s="122">
        <v>2.5000000000000001E-3</v>
      </c>
      <c r="G2533" s="62">
        <v>514842</v>
      </c>
      <c r="H2533" s="64">
        <v>0.997</v>
      </c>
      <c r="I2533" s="64"/>
      <c r="J2533" s="123">
        <v>0.99750000000000005</v>
      </c>
    </row>
    <row r="2534" spans="1:10">
      <c r="A2534" s="3" t="s">
        <v>11</v>
      </c>
      <c r="B2534" s="103">
        <v>48859</v>
      </c>
      <c r="C2534" s="57">
        <v>345</v>
      </c>
      <c r="D2534" s="61">
        <v>7.1000000000000004E-3</v>
      </c>
      <c r="E2534" s="61"/>
      <c r="F2534" s="122">
        <v>1.24E-2</v>
      </c>
      <c r="G2534" s="62">
        <v>48514</v>
      </c>
      <c r="H2534" s="64">
        <v>0.9929</v>
      </c>
      <c r="I2534" s="64"/>
      <c r="J2534" s="123">
        <v>0.98760000000000003</v>
      </c>
    </row>
    <row r="2535" spans="1:10">
      <c r="A2535" s="3" t="s">
        <v>12</v>
      </c>
      <c r="B2535" s="103">
        <v>10879</v>
      </c>
      <c r="C2535" s="62">
        <v>2427</v>
      </c>
      <c r="D2535" s="61">
        <v>0.22309999999999999</v>
      </c>
      <c r="E2535" s="61"/>
      <c r="F2535" s="122">
        <v>0.34949999999999998</v>
      </c>
      <c r="G2535" s="62">
        <v>8452</v>
      </c>
      <c r="H2535" s="64">
        <v>0.77690000000000003</v>
      </c>
      <c r="I2535" s="64"/>
      <c r="J2535" s="123">
        <v>0.65049999999999997</v>
      </c>
    </row>
    <row r="2536" spans="1:10" ht="21" customHeight="1">
      <c r="A2536" s="3" t="s">
        <v>13</v>
      </c>
      <c r="B2536" s="103">
        <v>447</v>
      </c>
      <c r="C2536" s="57">
        <v>310</v>
      </c>
      <c r="D2536" s="61">
        <v>0.69350000000000001</v>
      </c>
      <c r="E2536" s="61"/>
      <c r="F2536" s="122">
        <v>0.89670000000000005</v>
      </c>
      <c r="G2536" s="57">
        <v>137</v>
      </c>
      <c r="H2536" s="64">
        <v>0.30649999999999999</v>
      </c>
      <c r="I2536" s="64"/>
      <c r="J2536" s="123">
        <v>0.1033</v>
      </c>
    </row>
    <row r="2537" spans="1:10" ht="15.75" thickBot="1">
      <c r="A2537" s="3" t="s">
        <v>181</v>
      </c>
      <c r="B2537" s="103">
        <v>434</v>
      </c>
      <c r="C2537" s="105">
        <v>17</v>
      </c>
      <c r="D2537" s="106">
        <v>3.9199999999999999E-2</v>
      </c>
      <c r="E2537" s="106"/>
      <c r="F2537" s="124">
        <v>0.36480000000000001</v>
      </c>
      <c r="G2537" s="50">
        <v>417</v>
      </c>
      <c r="H2537" s="68">
        <v>0.96079999999999999</v>
      </c>
      <c r="I2537" s="64"/>
      <c r="J2537" s="125">
        <v>0.63519999999999999</v>
      </c>
    </row>
    <row r="2538" spans="1:10" ht="17.25" thickTop="1" thickBot="1">
      <c r="A2538" s="34" t="s">
        <v>175</v>
      </c>
      <c r="B2538" s="84">
        <f>SUM(B2533:B2537)</f>
        <v>576997</v>
      </c>
      <c r="C2538" s="74">
        <f>SUM(C2533:C2537)</f>
        <v>4635</v>
      </c>
      <c r="D2538" s="107">
        <v>8.0000000000000002E-3</v>
      </c>
      <c r="E2538" s="107"/>
      <c r="F2538" s="73">
        <v>0.37959999999999999</v>
      </c>
      <c r="G2538" s="74">
        <f>SUM(G2533:G2537)</f>
        <v>572362</v>
      </c>
      <c r="H2538" s="75">
        <v>0.99199999999999999</v>
      </c>
      <c r="I2538" s="75"/>
      <c r="J2538" s="76">
        <v>0.62039999999999995</v>
      </c>
    </row>
    <row r="2539" spans="1:10" ht="16.5" thickBot="1">
      <c r="A2539" s="22"/>
      <c r="B2539" s="111" t="s">
        <v>249</v>
      </c>
      <c r="C2539" s="22"/>
      <c r="D2539" s="22"/>
      <c r="E2539" s="22"/>
      <c r="F2539" s="22"/>
      <c r="G2539" s="22"/>
      <c r="H2539" s="22"/>
      <c r="I2539" s="22"/>
      <c r="J2539" s="112"/>
    </row>
    <row r="2540" spans="1:10" ht="17.25" thickTop="1" thickBot="1">
      <c r="A2540" s="1" t="s">
        <v>269</v>
      </c>
      <c r="B2540" s="97"/>
      <c r="C2540" s="113" t="s">
        <v>179</v>
      </c>
      <c r="D2540" s="114"/>
      <c r="E2540" s="114"/>
      <c r="F2540" s="115"/>
      <c r="G2540" s="114" t="s">
        <v>180</v>
      </c>
      <c r="H2540" s="114"/>
      <c r="I2540" s="114"/>
      <c r="J2540" s="115"/>
    </row>
    <row r="2541" spans="1:10" ht="15.75" thickTop="1">
      <c r="B2541" s="42" t="s">
        <v>4</v>
      </c>
      <c r="C2541" s="43" t="s">
        <v>5</v>
      </c>
      <c r="D2541" s="44"/>
      <c r="E2541" s="44"/>
      <c r="F2541" s="116" t="s">
        <v>6</v>
      </c>
      <c r="G2541" s="43" t="s">
        <v>7</v>
      </c>
      <c r="H2541" s="46"/>
      <c r="I2541" s="46"/>
      <c r="J2541" s="117" t="s">
        <v>6</v>
      </c>
    </row>
    <row r="2542" spans="1:10" ht="15.75" thickBot="1">
      <c r="B2542" s="49" t="s">
        <v>8</v>
      </c>
      <c r="C2542" s="50" t="s">
        <v>8</v>
      </c>
      <c r="D2542" s="51" t="s">
        <v>9</v>
      </c>
      <c r="E2542" s="51"/>
      <c r="F2542" s="118" t="s">
        <v>9</v>
      </c>
      <c r="G2542" s="53" t="s">
        <v>8</v>
      </c>
      <c r="H2542" s="54" t="s">
        <v>9</v>
      </c>
      <c r="I2542" s="54"/>
      <c r="J2542" s="119" t="s">
        <v>9</v>
      </c>
    </row>
    <row r="2543" spans="1:10" ht="15.75" thickTop="1">
      <c r="C2543" s="43"/>
      <c r="F2543" s="120"/>
      <c r="G2543" s="57"/>
      <c r="J2543" s="121"/>
    </row>
    <row r="2544" spans="1:10">
      <c r="A2544" s="3" t="s">
        <v>10</v>
      </c>
      <c r="B2544" s="103">
        <v>515936</v>
      </c>
      <c r="C2544" s="62">
        <v>1481</v>
      </c>
      <c r="D2544" s="61">
        <v>2.8999999999999998E-3</v>
      </c>
      <c r="E2544" s="61"/>
      <c r="F2544" s="122">
        <v>2.3999999999999998E-3</v>
      </c>
      <c r="G2544" s="62">
        <v>514455</v>
      </c>
      <c r="H2544" s="64">
        <v>0.99709999999999999</v>
      </c>
      <c r="I2544" s="64"/>
      <c r="J2544" s="123">
        <v>0.99760000000000004</v>
      </c>
    </row>
    <row r="2545" spans="1:10">
      <c r="A2545" s="3" t="s">
        <v>11</v>
      </c>
      <c r="B2545" s="103">
        <v>48840</v>
      </c>
      <c r="C2545" s="57">
        <v>347</v>
      </c>
      <c r="D2545" s="61">
        <v>7.1000000000000004E-3</v>
      </c>
      <c r="E2545" s="61"/>
      <c r="F2545" s="122">
        <v>1.3599999999999999E-2</v>
      </c>
      <c r="G2545" s="62">
        <v>48493</v>
      </c>
      <c r="H2545" s="64">
        <v>0.9929</v>
      </c>
      <c r="I2545" s="64"/>
      <c r="J2545" s="123">
        <v>0.98640000000000005</v>
      </c>
    </row>
    <row r="2546" spans="1:10">
      <c r="A2546" s="3" t="s">
        <v>12</v>
      </c>
      <c r="B2546" s="103">
        <v>10863</v>
      </c>
      <c r="C2546" s="62">
        <v>2462</v>
      </c>
      <c r="D2546" s="61">
        <v>0.2266</v>
      </c>
      <c r="E2546" s="61"/>
      <c r="F2546" s="122">
        <v>0.36020000000000002</v>
      </c>
      <c r="G2546" s="62">
        <v>8401</v>
      </c>
      <c r="H2546" s="64">
        <v>0.77339999999999998</v>
      </c>
      <c r="I2546" s="64"/>
      <c r="J2546" s="123">
        <v>0.63980000000000004</v>
      </c>
    </row>
    <row r="2547" spans="1:10" ht="21" customHeight="1">
      <c r="A2547" s="3" t="s">
        <v>13</v>
      </c>
      <c r="B2547" s="103">
        <v>446</v>
      </c>
      <c r="C2547" s="57">
        <v>306</v>
      </c>
      <c r="D2547" s="61">
        <v>0.68610000000000004</v>
      </c>
      <c r="E2547" s="61"/>
      <c r="F2547" s="122">
        <v>0.90269999999999995</v>
      </c>
      <c r="G2547" s="57">
        <v>140</v>
      </c>
      <c r="H2547" s="64">
        <v>0.31390000000000001</v>
      </c>
      <c r="I2547" s="64"/>
      <c r="J2547" s="123">
        <v>9.7299999999999998E-2</v>
      </c>
    </row>
    <row r="2548" spans="1:10" ht="15.75" thickBot="1">
      <c r="A2548" s="3" t="s">
        <v>181</v>
      </c>
      <c r="B2548" s="103">
        <v>435</v>
      </c>
      <c r="C2548" s="105">
        <v>7</v>
      </c>
      <c r="D2548" s="106">
        <v>1.61E-2</v>
      </c>
      <c r="E2548" s="106"/>
      <c r="F2548" s="124">
        <v>0.2334</v>
      </c>
      <c r="G2548" s="50">
        <v>428</v>
      </c>
      <c r="H2548" s="68">
        <v>0.9839</v>
      </c>
      <c r="I2548" s="64"/>
      <c r="J2548" s="125">
        <v>0.76659999999999995</v>
      </c>
    </row>
    <row r="2549" spans="1:10" ht="17.25" thickTop="1" thickBot="1">
      <c r="A2549" s="34" t="s">
        <v>175</v>
      </c>
      <c r="B2549" s="84">
        <f>SUM(B2544:B2548)</f>
        <v>576520</v>
      </c>
      <c r="C2549" s="74">
        <f>SUM(C2544:C2548)</f>
        <v>4603</v>
      </c>
      <c r="D2549" s="107">
        <v>8.0000000000000002E-3</v>
      </c>
      <c r="E2549" s="107"/>
      <c r="F2549" s="73">
        <v>0.39150000000000001</v>
      </c>
      <c r="G2549" s="74">
        <f>SUM(G2544:G2548)</f>
        <v>571917</v>
      </c>
      <c r="H2549" s="75">
        <v>0.99199999999999999</v>
      </c>
      <c r="I2549" s="75"/>
      <c r="J2549" s="76">
        <v>0.90849999999999997</v>
      </c>
    </row>
    <row r="2550" spans="1:10" ht="16.5" thickBot="1">
      <c r="A2550" s="22"/>
      <c r="B2550" s="111" t="s">
        <v>249</v>
      </c>
      <c r="C2550" s="22"/>
      <c r="D2550" s="22"/>
      <c r="E2550" s="22"/>
      <c r="F2550" s="22"/>
      <c r="G2550" s="22"/>
      <c r="H2550" s="22"/>
      <c r="I2550" s="22"/>
      <c r="J2550" s="112"/>
    </row>
    <row r="2551" spans="1:10" ht="17.25" thickTop="1" thickBot="1">
      <c r="A2551" s="1" t="s">
        <v>270</v>
      </c>
      <c r="B2551" s="97"/>
      <c r="C2551" s="113" t="s">
        <v>179</v>
      </c>
      <c r="D2551" s="114"/>
      <c r="E2551" s="114"/>
      <c r="F2551" s="115"/>
      <c r="G2551" s="114" t="s">
        <v>180</v>
      </c>
      <c r="H2551" s="114"/>
      <c r="I2551" s="114"/>
      <c r="J2551" s="115"/>
    </row>
    <row r="2552" spans="1:10" ht="15.75" thickTop="1">
      <c r="B2552" s="42" t="s">
        <v>4</v>
      </c>
      <c r="C2552" s="43" t="s">
        <v>5</v>
      </c>
      <c r="D2552" s="44"/>
      <c r="E2552" s="44"/>
      <c r="F2552" s="116" t="s">
        <v>6</v>
      </c>
      <c r="G2552" s="43" t="s">
        <v>7</v>
      </c>
      <c r="H2552" s="46"/>
      <c r="I2552" s="46"/>
      <c r="J2552" s="117" t="s">
        <v>6</v>
      </c>
    </row>
    <row r="2553" spans="1:10" ht="15.75" thickBot="1">
      <c r="B2553" s="49" t="s">
        <v>8</v>
      </c>
      <c r="C2553" s="50" t="s">
        <v>8</v>
      </c>
      <c r="D2553" s="51" t="s">
        <v>9</v>
      </c>
      <c r="E2553" s="51"/>
      <c r="F2553" s="118" t="s">
        <v>9</v>
      </c>
      <c r="G2553" s="53" t="s">
        <v>8</v>
      </c>
      <c r="H2553" s="54" t="s">
        <v>9</v>
      </c>
      <c r="I2553" s="54"/>
      <c r="J2553" s="119" t="s">
        <v>9</v>
      </c>
    </row>
    <row r="2554" spans="1:10" ht="15.75" thickTop="1">
      <c r="C2554" s="43"/>
      <c r="F2554" s="120"/>
      <c r="G2554" s="57"/>
      <c r="J2554" s="121"/>
    </row>
    <row r="2555" spans="1:10">
      <c r="A2555" s="3" t="s">
        <v>10</v>
      </c>
      <c r="B2555" s="103">
        <v>516164</v>
      </c>
      <c r="C2555" s="62">
        <v>1395</v>
      </c>
      <c r="D2555" s="61">
        <v>2.7000000000000001E-3</v>
      </c>
      <c r="E2555" s="61"/>
      <c r="F2555" s="122">
        <v>2.2000000000000001E-3</v>
      </c>
      <c r="G2555" s="62">
        <v>514769</v>
      </c>
      <c r="H2555" s="64">
        <v>0.99729999999999996</v>
      </c>
      <c r="I2555" s="64"/>
      <c r="J2555" s="123">
        <v>0.99780000000000002</v>
      </c>
    </row>
    <row r="2556" spans="1:10">
      <c r="A2556" s="3" t="s">
        <v>11</v>
      </c>
      <c r="B2556" s="103">
        <v>48734</v>
      </c>
      <c r="C2556" s="57">
        <v>344</v>
      </c>
      <c r="D2556" s="61">
        <v>7.1000000000000004E-3</v>
      </c>
      <c r="E2556" s="61"/>
      <c r="F2556" s="122">
        <v>1.37E-2</v>
      </c>
      <c r="G2556" s="62">
        <v>48390</v>
      </c>
      <c r="H2556" s="64">
        <v>0.9929</v>
      </c>
      <c r="I2556" s="64"/>
      <c r="J2556" s="123">
        <v>0.98629999999999995</v>
      </c>
    </row>
    <row r="2557" spans="1:10">
      <c r="A2557" s="3" t="s">
        <v>12</v>
      </c>
      <c r="B2557" s="103">
        <v>10862</v>
      </c>
      <c r="C2557" s="62">
        <v>2476</v>
      </c>
      <c r="D2557" s="61">
        <v>0.22800000000000001</v>
      </c>
      <c r="E2557" s="61"/>
      <c r="F2557" s="122">
        <v>0.36570000000000003</v>
      </c>
      <c r="G2557" s="62">
        <v>8386</v>
      </c>
      <c r="H2557" s="64">
        <v>0.77200000000000002</v>
      </c>
      <c r="I2557" s="64"/>
      <c r="J2557" s="123">
        <v>0.63429999999999997</v>
      </c>
    </row>
    <row r="2558" spans="1:10" ht="21" customHeight="1">
      <c r="A2558" s="3" t="s">
        <v>13</v>
      </c>
      <c r="B2558" s="103">
        <v>443</v>
      </c>
      <c r="C2558" s="57">
        <v>309</v>
      </c>
      <c r="D2558" s="61">
        <v>0.69750000000000001</v>
      </c>
      <c r="E2558" s="61"/>
      <c r="F2558" s="122">
        <v>0.91879999999999995</v>
      </c>
      <c r="G2558" s="57">
        <v>134</v>
      </c>
      <c r="H2558" s="64">
        <v>0.30249999999999999</v>
      </c>
      <c r="I2558" s="64"/>
      <c r="J2558" s="123">
        <v>8.1199999999999994E-2</v>
      </c>
    </row>
    <row r="2559" spans="1:10" ht="15.75" thickBot="1">
      <c r="A2559" s="3" t="s">
        <v>181</v>
      </c>
      <c r="B2559" s="103">
        <v>436</v>
      </c>
      <c r="C2559" s="105">
        <v>8</v>
      </c>
      <c r="D2559" s="106">
        <v>1.83E-2</v>
      </c>
      <c r="E2559" s="106"/>
      <c r="F2559" s="124">
        <v>0.23250000000000001</v>
      </c>
      <c r="G2559" s="50">
        <v>428</v>
      </c>
      <c r="H2559" s="68">
        <v>0.98170000000000002</v>
      </c>
      <c r="I2559" s="64"/>
      <c r="J2559" s="125">
        <v>0.76749999999999996</v>
      </c>
    </row>
    <row r="2560" spans="1:10" ht="17.25" thickTop="1" thickBot="1">
      <c r="A2560" s="34" t="s">
        <v>175</v>
      </c>
      <c r="B2560" s="84">
        <f>SUM(B2555:B2559)</f>
        <v>576639</v>
      </c>
      <c r="C2560" s="74">
        <f>SUM(C2555:C2559)</f>
        <v>4532</v>
      </c>
      <c r="D2560" s="107">
        <v>7.9000000000000008E-3</v>
      </c>
      <c r="E2560" s="107"/>
      <c r="F2560" s="73">
        <v>0.41560000000000002</v>
      </c>
      <c r="G2560" s="74">
        <f>SUM(G2555:G2559)</f>
        <v>572107</v>
      </c>
      <c r="H2560" s="75">
        <v>0.99209999999999998</v>
      </c>
      <c r="I2560" s="75"/>
      <c r="J2560" s="76">
        <v>0.58440000000000003</v>
      </c>
    </row>
    <row r="2562" spans="1:12" ht="16.5" thickBot="1">
      <c r="A2562" s="22"/>
      <c r="B2562" s="111" t="s">
        <v>249</v>
      </c>
      <c r="C2562" s="22"/>
      <c r="D2562" s="22"/>
      <c r="E2562" s="22"/>
      <c r="F2562" s="22"/>
      <c r="G2562" s="22"/>
      <c r="H2562" s="22"/>
      <c r="I2562" s="22"/>
      <c r="J2562" s="112"/>
    </row>
    <row r="2563" spans="1:12" ht="17.25" thickTop="1" thickBot="1">
      <c r="A2563" s="1" t="s">
        <v>271</v>
      </c>
      <c r="B2563" s="97"/>
      <c r="C2563" s="113" t="s">
        <v>179</v>
      </c>
      <c r="D2563" s="114"/>
      <c r="E2563" s="114"/>
      <c r="F2563" s="115"/>
      <c r="G2563" s="114" t="s">
        <v>180</v>
      </c>
      <c r="H2563" s="114"/>
      <c r="I2563" s="114"/>
      <c r="J2563" s="115"/>
    </row>
    <row r="2564" spans="1:12" ht="15.75" thickTop="1">
      <c r="B2564" s="42" t="s">
        <v>4</v>
      </c>
      <c r="C2564" s="43" t="s">
        <v>5</v>
      </c>
      <c r="D2564" s="44"/>
      <c r="E2564" s="44"/>
      <c r="F2564" s="116" t="s">
        <v>6</v>
      </c>
      <c r="G2564" s="43" t="s">
        <v>7</v>
      </c>
      <c r="H2564" s="46"/>
      <c r="I2564" s="46"/>
      <c r="J2564" s="117" t="s">
        <v>6</v>
      </c>
    </row>
    <row r="2565" spans="1:12" ht="15.75" thickBot="1">
      <c r="B2565" s="49" t="s">
        <v>8</v>
      </c>
      <c r="C2565" s="50" t="s">
        <v>8</v>
      </c>
      <c r="D2565" s="51" t="s">
        <v>9</v>
      </c>
      <c r="E2565" s="51"/>
      <c r="F2565" s="118" t="s">
        <v>9</v>
      </c>
      <c r="G2565" s="53" t="s">
        <v>8</v>
      </c>
      <c r="H2565" s="54" t="s">
        <v>9</v>
      </c>
      <c r="I2565" s="54"/>
      <c r="J2565" s="119" t="s">
        <v>9</v>
      </c>
    </row>
    <row r="2566" spans="1:12" ht="15.75" thickTop="1">
      <c r="C2566" s="43"/>
      <c r="F2566" s="120"/>
      <c r="G2566" s="57"/>
      <c r="J2566" s="121"/>
    </row>
    <row r="2567" spans="1:12">
      <c r="A2567" s="3" t="s">
        <v>10</v>
      </c>
      <c r="B2567" s="103">
        <v>516007</v>
      </c>
      <c r="C2567" s="62">
        <v>1227</v>
      </c>
      <c r="D2567" s="61">
        <v>2.3999999999999998E-3</v>
      </c>
      <c r="E2567" s="61"/>
      <c r="F2567" s="122">
        <v>2E-3</v>
      </c>
      <c r="G2567" s="62">
        <v>514780</v>
      </c>
      <c r="H2567" s="64">
        <v>0.99760000000000004</v>
      </c>
      <c r="I2567" s="64"/>
      <c r="J2567" s="123">
        <v>0.998</v>
      </c>
    </row>
    <row r="2568" spans="1:12">
      <c r="A2568" s="3" t="s">
        <v>11</v>
      </c>
      <c r="B2568" s="103">
        <v>48602</v>
      </c>
      <c r="C2568" s="57">
        <v>322</v>
      </c>
      <c r="D2568" s="61">
        <v>6.6E-3</v>
      </c>
      <c r="E2568" s="61"/>
      <c r="F2568" s="122">
        <v>1.3100000000000001E-2</v>
      </c>
      <c r="G2568" s="62">
        <v>48280</v>
      </c>
      <c r="H2568" s="64">
        <v>0.99339999999999995</v>
      </c>
      <c r="I2568" s="64"/>
      <c r="J2568" s="123">
        <v>0.9869</v>
      </c>
    </row>
    <row r="2569" spans="1:12" ht="21" customHeight="1">
      <c r="A2569" s="3" t="s">
        <v>12</v>
      </c>
      <c r="B2569" s="103">
        <v>10917</v>
      </c>
      <c r="C2569" s="62">
        <v>2520</v>
      </c>
      <c r="D2569" s="61">
        <v>0.23080000000000001</v>
      </c>
      <c r="E2569" s="61"/>
      <c r="F2569" s="122">
        <v>0.36659999999999998</v>
      </c>
      <c r="G2569" s="62">
        <v>8397</v>
      </c>
      <c r="H2569" s="64">
        <v>0.76919999999999999</v>
      </c>
      <c r="I2569" s="64"/>
      <c r="J2569" s="123">
        <v>0.63339999999999996</v>
      </c>
    </row>
    <row r="2570" spans="1:12" ht="21" customHeight="1">
      <c r="A2570" s="3" t="s">
        <v>13</v>
      </c>
      <c r="B2570" s="103">
        <v>446</v>
      </c>
      <c r="C2570" s="57">
        <v>311</v>
      </c>
      <c r="D2570" s="61">
        <v>0.69730000000000003</v>
      </c>
      <c r="E2570" s="61"/>
      <c r="F2570" s="122">
        <v>0.91679999999999995</v>
      </c>
      <c r="G2570" s="57">
        <v>135</v>
      </c>
      <c r="H2570" s="64">
        <v>0.30270000000000002</v>
      </c>
      <c r="I2570" s="64"/>
      <c r="J2570" s="123">
        <v>8.3199999999999996E-2</v>
      </c>
    </row>
    <row r="2571" spans="1:12" ht="15" customHeight="1" thickBot="1">
      <c r="A2571" s="3" t="s">
        <v>181</v>
      </c>
      <c r="B2571" s="103">
        <v>435</v>
      </c>
      <c r="C2571" s="105">
        <v>7</v>
      </c>
      <c r="D2571" s="106">
        <v>1.61E-2</v>
      </c>
      <c r="E2571" s="106"/>
      <c r="F2571" s="124">
        <v>0.23069999999999999</v>
      </c>
      <c r="G2571" s="50">
        <v>428</v>
      </c>
      <c r="H2571" s="68">
        <v>0.9839</v>
      </c>
      <c r="I2571" s="64"/>
      <c r="J2571" s="125">
        <v>0.76929999999999998</v>
      </c>
    </row>
    <row r="2572" spans="1:12" ht="15" customHeight="1" thickTop="1" thickBot="1">
      <c r="A2572" s="34" t="s">
        <v>175</v>
      </c>
      <c r="B2572" s="84">
        <f>SUM(B2567:B2571)</f>
        <v>576407</v>
      </c>
      <c r="C2572" s="74">
        <f>SUM(C2567:C2571)</f>
        <v>4387</v>
      </c>
      <c r="D2572" s="107">
        <v>7.6E-3</v>
      </c>
      <c r="E2572" s="107"/>
      <c r="F2572" s="73">
        <v>0.39739999999999998</v>
      </c>
      <c r="G2572" s="74">
        <f>SUM(G2567:G2571)</f>
        <v>572020</v>
      </c>
      <c r="H2572" s="75">
        <v>0.99239999999999995</v>
      </c>
      <c r="I2572" s="75"/>
      <c r="J2572" s="76">
        <v>0.60260000000000002</v>
      </c>
    </row>
    <row r="2573" spans="1:12" s="1" customFormat="1" ht="15.75">
      <c r="A2573" s="3"/>
      <c r="B2573" s="56"/>
      <c r="C2573" s="3"/>
      <c r="D2573" s="3"/>
      <c r="E2573" s="3"/>
      <c r="F2573" s="3"/>
      <c r="G2573" s="3"/>
      <c r="H2573" s="3"/>
      <c r="I2573" s="3"/>
      <c r="J2573" s="59"/>
      <c r="K2573" s="3"/>
      <c r="L2573" s="3"/>
    </row>
    <row r="2574" spans="1:12" ht="16.5" thickBot="1">
      <c r="A2574" s="22"/>
      <c r="B2574" s="111" t="s">
        <v>249</v>
      </c>
      <c r="C2574" s="22"/>
      <c r="D2574" s="22"/>
      <c r="E2574" s="22"/>
      <c r="F2574" s="22"/>
      <c r="G2574" s="22"/>
      <c r="H2574" s="22"/>
      <c r="I2574" s="22"/>
      <c r="J2574" s="112"/>
    </row>
    <row r="2575" spans="1:12" ht="17.25" thickTop="1" thickBot="1">
      <c r="A2575" s="1" t="s">
        <v>272</v>
      </c>
      <c r="B2575" s="97"/>
      <c r="C2575" s="113" t="s">
        <v>179</v>
      </c>
      <c r="D2575" s="114"/>
      <c r="E2575" s="114"/>
      <c r="F2575" s="115"/>
      <c r="G2575" s="114" t="s">
        <v>180</v>
      </c>
      <c r="H2575" s="114"/>
      <c r="I2575" s="114"/>
      <c r="J2575" s="115"/>
    </row>
    <row r="2576" spans="1:12" ht="15.75" thickTop="1">
      <c r="B2576" s="42" t="s">
        <v>4</v>
      </c>
      <c r="C2576" s="43" t="s">
        <v>5</v>
      </c>
      <c r="D2576" s="44"/>
      <c r="E2576" s="44"/>
      <c r="F2576" s="116" t="s">
        <v>6</v>
      </c>
      <c r="G2576" s="43" t="s">
        <v>7</v>
      </c>
      <c r="H2576" s="46"/>
      <c r="I2576" s="46"/>
      <c r="J2576" s="117" t="s">
        <v>6</v>
      </c>
    </row>
    <row r="2577" spans="1:12" ht="15.75" thickBot="1">
      <c r="B2577" s="49" t="s">
        <v>8</v>
      </c>
      <c r="C2577" s="50" t="s">
        <v>8</v>
      </c>
      <c r="D2577" s="51" t="s">
        <v>9</v>
      </c>
      <c r="E2577" s="51"/>
      <c r="F2577" s="118" t="s">
        <v>9</v>
      </c>
      <c r="G2577" s="53" t="s">
        <v>8</v>
      </c>
      <c r="H2577" s="54" t="s">
        <v>9</v>
      </c>
      <c r="I2577" s="54"/>
      <c r="J2577" s="119" t="s">
        <v>9</v>
      </c>
    </row>
    <row r="2578" spans="1:12" ht="15.75" thickTop="1">
      <c r="C2578" s="43"/>
      <c r="F2578" s="120"/>
      <c r="G2578" s="57"/>
      <c r="J2578" s="121"/>
    </row>
    <row r="2579" spans="1:12">
      <c r="A2579" s="3" t="s">
        <v>10</v>
      </c>
      <c r="B2579" s="103">
        <v>515606</v>
      </c>
      <c r="C2579" s="62">
        <v>802</v>
      </c>
      <c r="D2579" s="61">
        <v>1.6000000000000001E-3</v>
      </c>
      <c r="E2579" s="61"/>
      <c r="F2579" s="122">
        <v>1.5E-3</v>
      </c>
      <c r="G2579" s="62">
        <v>514804</v>
      </c>
      <c r="H2579" s="64">
        <v>0.99839999999999995</v>
      </c>
      <c r="I2579" s="64"/>
      <c r="J2579" s="123">
        <v>0.99850000000000005</v>
      </c>
    </row>
    <row r="2580" spans="1:12" s="1" customFormat="1" ht="15.75">
      <c r="A2580" s="3" t="s">
        <v>11</v>
      </c>
      <c r="B2580" s="103">
        <v>48567</v>
      </c>
      <c r="C2580" s="57">
        <v>290</v>
      </c>
      <c r="D2580" s="61">
        <v>6.0000000000000001E-3</v>
      </c>
      <c r="E2580" s="61"/>
      <c r="F2580" s="122">
        <v>1.35E-2</v>
      </c>
      <c r="G2580" s="62">
        <v>48277</v>
      </c>
      <c r="H2580" s="64">
        <v>0.99399999999999999</v>
      </c>
      <c r="I2580" s="64"/>
      <c r="J2580" s="123">
        <v>0.98650000000000004</v>
      </c>
      <c r="K2580" s="3"/>
      <c r="L2580" s="3"/>
    </row>
    <row r="2581" spans="1:12" ht="21" customHeight="1">
      <c r="A2581" s="3" t="s">
        <v>12</v>
      </c>
      <c r="B2581" s="103">
        <v>10933</v>
      </c>
      <c r="C2581" s="62">
        <v>2505</v>
      </c>
      <c r="D2581" s="61">
        <v>0.2291</v>
      </c>
      <c r="E2581" s="61"/>
      <c r="F2581" s="122">
        <v>0.36759999999999998</v>
      </c>
      <c r="G2581" s="62">
        <v>8428</v>
      </c>
      <c r="H2581" s="64">
        <v>0.77090000000000003</v>
      </c>
      <c r="I2581" s="64"/>
      <c r="J2581" s="123">
        <v>0.63239999999999996</v>
      </c>
    </row>
    <row r="2582" spans="1:12" ht="15" customHeight="1">
      <c r="A2582" s="3" t="s">
        <v>13</v>
      </c>
      <c r="B2582" s="103">
        <v>449</v>
      </c>
      <c r="C2582" s="57">
        <v>308</v>
      </c>
      <c r="D2582" s="61">
        <v>0.68600000000000005</v>
      </c>
      <c r="E2582" s="61"/>
      <c r="F2582" s="122">
        <v>0.91810000000000003</v>
      </c>
      <c r="G2582" s="57">
        <v>141</v>
      </c>
      <c r="H2582" s="64">
        <v>0.314</v>
      </c>
      <c r="I2582" s="64"/>
      <c r="J2582" s="123">
        <v>8.1900000000000001E-2</v>
      </c>
    </row>
    <row r="2583" spans="1:12" ht="15" customHeight="1" thickBot="1">
      <c r="A2583" s="3" t="s">
        <v>181</v>
      </c>
      <c r="B2583" s="103">
        <v>435</v>
      </c>
      <c r="C2583" s="105">
        <v>8</v>
      </c>
      <c r="D2583" s="106">
        <v>1.84E-2</v>
      </c>
      <c r="E2583" s="106"/>
      <c r="F2583" s="124">
        <v>0.2296</v>
      </c>
      <c r="G2583" s="50">
        <v>427</v>
      </c>
      <c r="H2583" s="68">
        <v>0.98160000000000003</v>
      </c>
      <c r="I2583" s="64"/>
      <c r="J2583" s="125">
        <v>0.77039999999999997</v>
      </c>
      <c r="K2583" s="1"/>
      <c r="L2583" s="1"/>
    </row>
    <row r="2584" spans="1:12" s="1" customFormat="1" ht="17.25" thickTop="1" thickBot="1">
      <c r="A2584" s="34" t="s">
        <v>175</v>
      </c>
      <c r="B2584" s="84">
        <f>SUM(B2579:B2583)</f>
        <v>575990</v>
      </c>
      <c r="C2584" s="74">
        <f>SUM(C2579:C2583)</f>
        <v>3913</v>
      </c>
      <c r="D2584" s="107">
        <v>6.7999999999999996E-3</v>
      </c>
      <c r="E2584" s="107"/>
      <c r="F2584" s="73">
        <v>0.38300000000000001</v>
      </c>
      <c r="G2584" s="74">
        <f>SUM(G2579:G2583)</f>
        <v>572077</v>
      </c>
      <c r="H2584" s="75">
        <v>0.99319999999999997</v>
      </c>
      <c r="I2584" s="75"/>
      <c r="J2584" s="76">
        <v>0.61699999999999999</v>
      </c>
      <c r="K2584" s="3"/>
      <c r="L2584" s="3"/>
    </row>
    <row r="2586" spans="1:12" ht="16.5" thickBot="1">
      <c r="A2586" s="22"/>
      <c r="B2586" s="111" t="s">
        <v>249</v>
      </c>
      <c r="C2586" s="22"/>
      <c r="D2586" s="22"/>
      <c r="E2586" s="22"/>
      <c r="F2586" s="22"/>
      <c r="G2586" s="22"/>
      <c r="H2586" s="22"/>
      <c r="I2586" s="22"/>
      <c r="J2586" s="112"/>
    </row>
    <row r="2587" spans="1:12" ht="17.25" thickTop="1" thickBot="1">
      <c r="A2587" s="1" t="s">
        <v>273</v>
      </c>
      <c r="B2587" s="97"/>
      <c r="C2587" s="113" t="s">
        <v>179</v>
      </c>
      <c r="D2587" s="114"/>
      <c r="E2587" s="114"/>
      <c r="F2587" s="115"/>
      <c r="G2587" s="114" t="s">
        <v>180</v>
      </c>
      <c r="H2587" s="114"/>
      <c r="I2587" s="114"/>
      <c r="J2587" s="115"/>
    </row>
    <row r="2588" spans="1:12" ht="15.75" thickTop="1">
      <c r="B2588" s="42" t="s">
        <v>4</v>
      </c>
      <c r="C2588" s="43" t="s">
        <v>5</v>
      </c>
      <c r="D2588" s="44"/>
      <c r="E2588" s="44"/>
      <c r="F2588" s="116" t="s">
        <v>6</v>
      </c>
      <c r="G2588" s="43" t="s">
        <v>7</v>
      </c>
      <c r="H2588" s="46"/>
      <c r="I2588" s="46"/>
      <c r="J2588" s="117" t="s">
        <v>6</v>
      </c>
    </row>
    <row r="2589" spans="1:12" ht="15.75" thickBot="1">
      <c r="B2589" s="49" t="s">
        <v>8</v>
      </c>
      <c r="C2589" s="50" t="s">
        <v>8</v>
      </c>
      <c r="D2589" s="51" t="s">
        <v>9</v>
      </c>
      <c r="E2589" s="51"/>
      <c r="F2589" s="118" t="s">
        <v>9</v>
      </c>
      <c r="G2589" s="53" t="s">
        <v>8</v>
      </c>
      <c r="H2589" s="54" t="s">
        <v>9</v>
      </c>
      <c r="I2589" s="54"/>
      <c r="J2589" s="119" t="s">
        <v>9</v>
      </c>
    </row>
    <row r="2590" spans="1:12" ht="16.5" thickTop="1">
      <c r="C2590" s="43"/>
      <c r="F2590" s="120"/>
      <c r="G2590" s="57"/>
      <c r="J2590" s="121"/>
      <c r="K2590" s="1"/>
      <c r="L2590" s="1"/>
    </row>
    <row r="2591" spans="1:12" s="1" customFormat="1" ht="15.75">
      <c r="A2591" s="3" t="s">
        <v>10</v>
      </c>
      <c r="B2591" s="103">
        <v>515310</v>
      </c>
      <c r="C2591" s="62">
        <v>1557</v>
      </c>
      <c r="D2591" s="61">
        <v>3.0000000000000001E-3</v>
      </c>
      <c r="E2591" s="61"/>
      <c r="F2591" s="122">
        <v>2.8E-3</v>
      </c>
      <c r="G2591" s="62">
        <v>513753</v>
      </c>
      <c r="H2591" s="64">
        <v>0.997</v>
      </c>
      <c r="I2591" s="64"/>
      <c r="J2591" s="123">
        <v>0.99719999999999998</v>
      </c>
      <c r="K2591" s="3"/>
      <c r="L2591" s="3"/>
    </row>
    <row r="2592" spans="1:12" ht="15" customHeight="1">
      <c r="A2592" s="3" t="s">
        <v>11</v>
      </c>
      <c r="B2592" s="103">
        <v>48588</v>
      </c>
      <c r="C2592" s="57">
        <v>890</v>
      </c>
      <c r="D2592" s="61">
        <v>1.83E-2</v>
      </c>
      <c r="E2592" s="61"/>
      <c r="F2592" s="122">
        <v>2.3400000000000001E-2</v>
      </c>
      <c r="G2592" s="62">
        <v>47698</v>
      </c>
      <c r="H2592" s="64">
        <v>0.98170000000000002</v>
      </c>
      <c r="I2592" s="64"/>
      <c r="J2592" s="123">
        <v>0.97660000000000002</v>
      </c>
    </row>
    <row r="2593" spans="1:12" ht="15" customHeight="1">
      <c r="A2593" s="3" t="s">
        <v>12</v>
      </c>
      <c r="B2593" s="103">
        <v>10959</v>
      </c>
      <c r="C2593" s="62">
        <v>2458</v>
      </c>
      <c r="D2593" s="61">
        <v>0.2243</v>
      </c>
      <c r="E2593" s="61"/>
      <c r="F2593" s="122">
        <v>0.3584</v>
      </c>
      <c r="G2593" s="62">
        <v>8501</v>
      </c>
      <c r="H2593" s="64">
        <v>0.77569999999999995</v>
      </c>
      <c r="I2593" s="64"/>
      <c r="J2593" s="123">
        <v>0.64159999999999995</v>
      </c>
    </row>
    <row r="2594" spans="1:12" ht="15" customHeight="1">
      <c r="A2594" s="3" t="s">
        <v>13</v>
      </c>
      <c r="B2594" s="103">
        <v>447</v>
      </c>
      <c r="C2594" s="57">
        <v>306</v>
      </c>
      <c r="D2594" s="61">
        <v>0.68459999999999999</v>
      </c>
      <c r="E2594" s="61"/>
      <c r="F2594" s="122">
        <v>0.90690000000000004</v>
      </c>
      <c r="G2594" s="57">
        <v>141</v>
      </c>
      <c r="H2594" s="64">
        <v>0.31540000000000001</v>
      </c>
      <c r="I2594" s="64"/>
      <c r="J2594" s="123">
        <v>9.3100000000000002E-2</v>
      </c>
      <c r="K2594" s="1"/>
      <c r="L2594" s="1"/>
    </row>
    <row r="2595" spans="1:12" s="1" customFormat="1" ht="16.5" thickBot="1">
      <c r="A2595" s="3" t="s">
        <v>181</v>
      </c>
      <c r="B2595" s="103">
        <v>435</v>
      </c>
      <c r="C2595" s="105">
        <v>8</v>
      </c>
      <c r="D2595" s="106">
        <v>1.84E-2</v>
      </c>
      <c r="E2595" s="106"/>
      <c r="F2595" s="124">
        <v>0.22869999999999999</v>
      </c>
      <c r="G2595" s="50">
        <v>427</v>
      </c>
      <c r="H2595" s="68">
        <v>0.98160000000000003</v>
      </c>
      <c r="I2595" s="64"/>
      <c r="J2595" s="125">
        <v>0.77129999999999999</v>
      </c>
      <c r="K2595" s="3"/>
      <c r="L2595" s="3"/>
    </row>
    <row r="2596" spans="1:12" ht="17.25" thickTop="1" thickBot="1">
      <c r="A2596" s="34" t="s">
        <v>175</v>
      </c>
      <c r="B2596" s="84">
        <f>SUM(B2591:B2595)</f>
        <v>575739</v>
      </c>
      <c r="C2596" s="74">
        <f>SUM(C2591:C2595)</f>
        <v>5219</v>
      </c>
      <c r="D2596" s="107">
        <v>9.1000000000000004E-3</v>
      </c>
      <c r="E2596" s="107"/>
      <c r="F2596" s="73">
        <v>0.3604</v>
      </c>
      <c r="G2596" s="74">
        <f>SUM(G2591:G2595)</f>
        <v>570520</v>
      </c>
      <c r="H2596" s="75">
        <v>0.9909</v>
      </c>
      <c r="I2596" s="75"/>
      <c r="J2596" s="76">
        <v>0.63959999999999995</v>
      </c>
    </row>
    <row r="2598" spans="1:12" ht="16.5" thickBot="1">
      <c r="A2598" s="22"/>
      <c r="B2598" s="111" t="s">
        <v>249</v>
      </c>
      <c r="C2598" s="22"/>
      <c r="D2598" s="22"/>
      <c r="E2598" s="22"/>
      <c r="F2598" s="22"/>
      <c r="G2598" s="22"/>
      <c r="H2598" s="22"/>
      <c r="I2598" s="22"/>
      <c r="J2598" s="112"/>
    </row>
    <row r="2599" spans="1:12" ht="17.25" thickTop="1" thickBot="1">
      <c r="A2599" s="1" t="s">
        <v>274</v>
      </c>
      <c r="B2599" s="97"/>
      <c r="C2599" s="113" t="s">
        <v>179</v>
      </c>
      <c r="D2599" s="114"/>
      <c r="E2599" s="114"/>
      <c r="F2599" s="115"/>
      <c r="G2599" s="114" t="s">
        <v>180</v>
      </c>
      <c r="H2599" s="114"/>
      <c r="I2599" s="114"/>
      <c r="J2599" s="115"/>
    </row>
    <row r="2600" spans="1:12" ht="15.75" thickTop="1">
      <c r="B2600" s="42" t="s">
        <v>4</v>
      </c>
      <c r="C2600" s="43" t="s">
        <v>5</v>
      </c>
      <c r="D2600" s="44"/>
      <c r="E2600" s="44"/>
      <c r="F2600" s="116" t="s">
        <v>6</v>
      </c>
      <c r="G2600" s="43" t="s">
        <v>7</v>
      </c>
      <c r="H2600" s="46"/>
      <c r="I2600" s="46"/>
      <c r="J2600" s="117" t="s">
        <v>6</v>
      </c>
    </row>
    <row r="2601" spans="1:12" ht="16.5" thickBot="1">
      <c r="B2601" s="49" t="s">
        <v>8</v>
      </c>
      <c r="C2601" s="50" t="s">
        <v>8</v>
      </c>
      <c r="D2601" s="51" t="s">
        <v>9</v>
      </c>
      <c r="E2601" s="51"/>
      <c r="F2601" s="118" t="s">
        <v>9</v>
      </c>
      <c r="G2601" s="53" t="s">
        <v>8</v>
      </c>
      <c r="H2601" s="54" t="s">
        <v>9</v>
      </c>
      <c r="I2601" s="54"/>
      <c r="J2601" s="119" t="s">
        <v>9</v>
      </c>
      <c r="K2601" s="1"/>
      <c r="L2601" s="1"/>
    </row>
    <row r="2602" spans="1:12" s="1" customFormat="1" ht="16.5" thickTop="1">
      <c r="A2602" s="3"/>
      <c r="B2602" s="56"/>
      <c r="C2602" s="43"/>
      <c r="D2602" s="3"/>
      <c r="E2602" s="3"/>
      <c r="F2602" s="120"/>
      <c r="G2602" s="57"/>
      <c r="H2602" s="3"/>
      <c r="I2602" s="3"/>
      <c r="J2602" s="121"/>
      <c r="K2602" s="3"/>
      <c r="L2602" s="3"/>
    </row>
    <row r="2603" spans="1:12" ht="15" customHeight="1">
      <c r="A2603" s="3" t="s">
        <v>10</v>
      </c>
      <c r="B2603" s="103">
        <v>514400</v>
      </c>
      <c r="C2603" s="62">
        <v>1503</v>
      </c>
      <c r="D2603" s="61">
        <v>2.8999999999999998E-3</v>
      </c>
      <c r="E2603" s="61"/>
      <c r="F2603" s="122">
        <v>2.5999999999999999E-3</v>
      </c>
      <c r="G2603" s="62">
        <v>512897</v>
      </c>
      <c r="H2603" s="64">
        <v>0.99709999999999999</v>
      </c>
      <c r="I2603" s="64"/>
      <c r="J2603" s="123">
        <v>0.99739999999999995</v>
      </c>
    </row>
    <row r="2604" spans="1:12" ht="15" customHeight="1">
      <c r="A2604" s="3" t="s">
        <v>11</v>
      </c>
      <c r="B2604" s="103">
        <v>48509</v>
      </c>
      <c r="C2604" s="57">
        <v>889</v>
      </c>
      <c r="D2604" s="61">
        <v>1.83E-2</v>
      </c>
      <c r="E2604" s="61"/>
      <c r="F2604" s="122">
        <v>2.24E-2</v>
      </c>
      <c r="G2604" s="62">
        <v>47620</v>
      </c>
      <c r="H2604" s="64">
        <v>0.98170000000000002</v>
      </c>
      <c r="I2604" s="64"/>
      <c r="J2604" s="123">
        <v>0.97760000000000002</v>
      </c>
    </row>
    <row r="2605" spans="1:12" ht="15" customHeight="1">
      <c r="A2605" s="3" t="s">
        <v>12</v>
      </c>
      <c r="B2605" s="103">
        <v>10959</v>
      </c>
      <c r="C2605" s="62">
        <v>2435</v>
      </c>
      <c r="D2605" s="61">
        <v>0.22220000000000001</v>
      </c>
      <c r="E2605" s="61"/>
      <c r="F2605" s="122">
        <v>0.35930000000000001</v>
      </c>
      <c r="G2605" s="62">
        <v>8524</v>
      </c>
      <c r="H2605" s="64">
        <v>0.77780000000000005</v>
      </c>
      <c r="I2605" s="64"/>
      <c r="J2605" s="123">
        <v>0.64070000000000005</v>
      </c>
      <c r="K2605" s="1"/>
      <c r="L2605" s="1"/>
    </row>
    <row r="2606" spans="1:12" s="1" customFormat="1" ht="15.75">
      <c r="A2606" s="3" t="s">
        <v>13</v>
      </c>
      <c r="B2606" s="103">
        <v>446</v>
      </c>
      <c r="C2606" s="57">
        <v>303</v>
      </c>
      <c r="D2606" s="61">
        <v>0.6794</v>
      </c>
      <c r="E2606" s="61"/>
      <c r="F2606" s="122">
        <v>0.90900000000000003</v>
      </c>
      <c r="G2606" s="57">
        <v>143</v>
      </c>
      <c r="H2606" s="64">
        <v>0.3206</v>
      </c>
      <c r="I2606" s="64"/>
      <c r="J2606" s="123">
        <v>9.0999999999999998E-2</v>
      </c>
      <c r="K2606" s="3"/>
      <c r="L2606" s="3"/>
    </row>
    <row r="2607" spans="1:12" ht="15.75" thickBot="1">
      <c r="A2607" s="3" t="s">
        <v>181</v>
      </c>
      <c r="B2607" s="103">
        <v>436</v>
      </c>
      <c r="C2607" s="105">
        <v>8</v>
      </c>
      <c r="D2607" s="106">
        <v>1.83E-2</v>
      </c>
      <c r="E2607" s="106"/>
      <c r="F2607" s="124">
        <v>0.22800000000000001</v>
      </c>
      <c r="G2607" s="50">
        <v>428</v>
      </c>
      <c r="H2607" s="68">
        <v>0.98170000000000002</v>
      </c>
      <c r="I2607" s="64"/>
      <c r="J2607" s="125">
        <v>0.77200000000000002</v>
      </c>
    </row>
    <row r="2608" spans="1:12" ht="17.25" thickTop="1" thickBot="1">
      <c r="A2608" s="34" t="s">
        <v>175</v>
      </c>
      <c r="B2608" s="84">
        <f>SUM(B2603:B2607)</f>
        <v>574750</v>
      </c>
      <c r="C2608" s="74">
        <f>SUM(C2603:C2607)</f>
        <v>5138</v>
      </c>
      <c r="D2608" s="107">
        <v>8.8999999999999999E-3</v>
      </c>
      <c r="E2608" s="107"/>
      <c r="F2608" s="73">
        <v>0.35830000000000001</v>
      </c>
      <c r="G2608" s="74">
        <f>SUM(G2603:G2607)</f>
        <v>569612</v>
      </c>
      <c r="H2608" s="75">
        <v>0.99109999999999998</v>
      </c>
      <c r="I2608" s="75"/>
      <c r="J2608" s="76">
        <v>0.64170000000000005</v>
      </c>
    </row>
    <row r="2610" spans="1:12" ht="16.5" thickBot="1">
      <c r="A2610" s="22"/>
      <c r="B2610" s="111" t="s">
        <v>249</v>
      </c>
      <c r="C2610" s="22"/>
      <c r="D2610" s="22"/>
      <c r="E2610" s="22"/>
      <c r="F2610" s="22"/>
      <c r="G2610" s="22"/>
      <c r="H2610" s="22"/>
      <c r="I2610" s="22"/>
      <c r="J2610" s="112"/>
    </row>
    <row r="2611" spans="1:12" ht="17.25" thickTop="1" thickBot="1">
      <c r="A2611" s="1" t="s">
        <v>275</v>
      </c>
      <c r="B2611" s="97"/>
      <c r="C2611" s="113" t="s">
        <v>179</v>
      </c>
      <c r="D2611" s="114"/>
      <c r="E2611" s="114"/>
      <c r="F2611" s="115"/>
      <c r="G2611" s="114" t="s">
        <v>180</v>
      </c>
      <c r="H2611" s="114"/>
      <c r="I2611" s="114"/>
      <c r="J2611" s="115"/>
    </row>
    <row r="2612" spans="1:12" ht="16.5" thickTop="1">
      <c r="B2612" s="42" t="s">
        <v>4</v>
      </c>
      <c r="C2612" s="43" t="s">
        <v>5</v>
      </c>
      <c r="D2612" s="44"/>
      <c r="E2612" s="44"/>
      <c r="F2612" s="116" t="s">
        <v>6</v>
      </c>
      <c r="G2612" s="43" t="s">
        <v>7</v>
      </c>
      <c r="H2612" s="46"/>
      <c r="I2612" s="46"/>
      <c r="J2612" s="117" t="s">
        <v>6</v>
      </c>
      <c r="K2612" s="1"/>
      <c r="L2612" s="1"/>
    </row>
    <row r="2613" spans="1:12" ht="15.75" thickBot="1">
      <c r="B2613" s="49" t="s">
        <v>8</v>
      </c>
      <c r="C2613" s="50" t="s">
        <v>8</v>
      </c>
      <c r="D2613" s="51" t="s">
        <v>9</v>
      </c>
      <c r="E2613" s="51"/>
      <c r="F2613" s="118" t="s">
        <v>9</v>
      </c>
      <c r="G2613" s="53" t="s">
        <v>8</v>
      </c>
      <c r="H2613" s="54" t="s">
        <v>9</v>
      </c>
      <c r="I2613" s="54"/>
      <c r="J2613" s="119" t="s">
        <v>9</v>
      </c>
    </row>
    <row r="2614" spans="1:12" ht="15" customHeight="1" thickTop="1">
      <c r="C2614" s="43"/>
      <c r="F2614" s="120"/>
      <c r="G2614" s="57"/>
      <c r="J2614" s="121"/>
    </row>
    <row r="2615" spans="1:12" ht="15" customHeight="1">
      <c r="A2615" s="3" t="s">
        <v>10</v>
      </c>
      <c r="B2615" s="103">
        <v>513156</v>
      </c>
      <c r="C2615" s="62">
        <v>1448</v>
      </c>
      <c r="D2615" s="61">
        <v>2.8E-3</v>
      </c>
      <c r="E2615" s="61"/>
      <c r="F2615" s="122">
        <v>2.5999999999999999E-3</v>
      </c>
      <c r="G2615" s="62">
        <v>511708</v>
      </c>
      <c r="H2615" s="64">
        <v>0.99719999999999998</v>
      </c>
      <c r="I2615" s="64"/>
      <c r="J2615" s="123">
        <v>0.99739999999999995</v>
      </c>
    </row>
    <row r="2616" spans="1:12" ht="15" customHeight="1">
      <c r="A2616" s="3" t="s">
        <v>11</v>
      </c>
      <c r="B2616" s="103">
        <v>48505</v>
      </c>
      <c r="C2616" s="57">
        <v>891</v>
      </c>
      <c r="D2616" s="61">
        <v>1.84E-2</v>
      </c>
      <c r="E2616" s="61"/>
      <c r="F2616" s="122">
        <v>2.07E-2</v>
      </c>
      <c r="G2616" s="62">
        <v>47614</v>
      </c>
      <c r="H2616" s="64">
        <v>0.98160000000000003</v>
      </c>
      <c r="I2616" s="64"/>
      <c r="J2616" s="123">
        <v>0.97929999999999995</v>
      </c>
      <c r="K2616" s="1"/>
      <c r="L2616" s="1"/>
    </row>
    <row r="2617" spans="1:12" s="1" customFormat="1" ht="15.75">
      <c r="A2617" s="3" t="s">
        <v>12</v>
      </c>
      <c r="B2617" s="103">
        <v>10941</v>
      </c>
      <c r="C2617" s="62">
        <v>2454</v>
      </c>
      <c r="D2617" s="61">
        <v>0.2243</v>
      </c>
      <c r="E2617" s="61"/>
      <c r="F2617" s="122">
        <v>0.3579</v>
      </c>
      <c r="G2617" s="62">
        <v>8487</v>
      </c>
      <c r="H2617" s="64">
        <v>0.77569999999999995</v>
      </c>
      <c r="I2617" s="64"/>
      <c r="J2617" s="123">
        <v>0.6421</v>
      </c>
      <c r="K2617" s="3"/>
      <c r="L2617" s="3"/>
    </row>
    <row r="2618" spans="1:12">
      <c r="A2618" s="3" t="s">
        <v>13</v>
      </c>
      <c r="B2618" s="103">
        <v>443</v>
      </c>
      <c r="C2618" s="57">
        <v>299</v>
      </c>
      <c r="D2618" s="61">
        <v>0.67490000000000006</v>
      </c>
      <c r="E2618" s="61"/>
      <c r="F2618" s="122">
        <v>0.91169999999999995</v>
      </c>
      <c r="G2618" s="57">
        <v>144</v>
      </c>
      <c r="H2618" s="64">
        <v>0.3251</v>
      </c>
      <c r="I2618" s="64"/>
      <c r="J2618" s="123">
        <v>8.8300000000000003E-2</v>
      </c>
    </row>
    <row r="2619" spans="1:12" ht="15.75" thickBot="1">
      <c r="A2619" s="3" t="s">
        <v>181</v>
      </c>
      <c r="B2619" s="103">
        <v>435</v>
      </c>
      <c r="C2619" s="105">
        <v>7</v>
      </c>
      <c r="D2619" s="106">
        <v>1.61E-2</v>
      </c>
      <c r="E2619" s="106"/>
      <c r="F2619" s="124">
        <v>0.22600000000000001</v>
      </c>
      <c r="G2619" s="50">
        <v>428</v>
      </c>
      <c r="H2619" s="68">
        <v>0.9839</v>
      </c>
      <c r="I2619" s="64"/>
      <c r="J2619" s="125">
        <v>0.77400000000000002</v>
      </c>
    </row>
    <row r="2620" spans="1:12" ht="17.25" thickTop="1" thickBot="1">
      <c r="A2620" s="34" t="s">
        <v>175</v>
      </c>
      <c r="B2620" s="84">
        <f>SUM(B2615:B2619)</f>
        <v>573480</v>
      </c>
      <c r="C2620" s="74">
        <f>SUM(C2615:C2619)</f>
        <v>5099</v>
      </c>
      <c r="D2620" s="107">
        <v>8.8999999999999999E-3</v>
      </c>
      <c r="E2620" s="107"/>
      <c r="F2620" s="73">
        <v>0.38479999999999998</v>
      </c>
      <c r="G2620" s="74">
        <f>SUM(G2615:G2619)</f>
        <v>568381</v>
      </c>
      <c r="H2620" s="75">
        <v>0.99109999999999998</v>
      </c>
      <c r="I2620" s="75"/>
      <c r="J2620" s="76">
        <v>0.61519999999999997</v>
      </c>
    </row>
    <row r="2622" spans="1:12" ht="16.5" thickBot="1">
      <c r="A2622" s="22"/>
      <c r="B2622" s="111" t="s">
        <v>249</v>
      </c>
      <c r="C2622" s="22"/>
      <c r="D2622" s="22"/>
      <c r="E2622" s="22"/>
      <c r="F2622" s="22"/>
      <c r="G2622" s="22"/>
      <c r="H2622" s="22"/>
      <c r="I2622" s="22"/>
      <c r="J2622" s="112"/>
    </row>
    <row r="2623" spans="1:12" ht="17.25" thickTop="1" thickBot="1">
      <c r="A2623" s="1" t="s">
        <v>276</v>
      </c>
      <c r="B2623" s="97"/>
      <c r="C2623" s="113" t="s">
        <v>179</v>
      </c>
      <c r="D2623" s="114"/>
      <c r="E2623" s="114"/>
      <c r="F2623" s="115"/>
      <c r="G2623" s="114" t="s">
        <v>180</v>
      </c>
      <c r="H2623" s="114"/>
      <c r="I2623" s="114"/>
      <c r="J2623" s="115"/>
    </row>
    <row r="2624" spans="1:12" ht="15.75" thickTop="1">
      <c r="B2624" s="42" t="s">
        <v>4</v>
      </c>
      <c r="C2624" s="43" t="s">
        <v>5</v>
      </c>
      <c r="D2624" s="44"/>
      <c r="E2624" s="44"/>
      <c r="F2624" s="116" t="s">
        <v>6</v>
      </c>
      <c r="G2624" s="43" t="s">
        <v>7</v>
      </c>
      <c r="H2624" s="46"/>
      <c r="I2624" s="46"/>
      <c r="J2624" s="117" t="s">
        <v>6</v>
      </c>
    </row>
    <row r="2625" spans="1:12" ht="15.75" thickBot="1">
      <c r="B2625" s="49" t="s">
        <v>8</v>
      </c>
      <c r="C2625" s="50" t="s">
        <v>8</v>
      </c>
      <c r="D2625" s="51" t="s">
        <v>9</v>
      </c>
      <c r="E2625" s="51"/>
      <c r="F2625" s="118" t="s">
        <v>9</v>
      </c>
      <c r="G2625" s="53" t="s">
        <v>8</v>
      </c>
      <c r="H2625" s="54" t="s">
        <v>9</v>
      </c>
      <c r="I2625" s="54"/>
      <c r="J2625" s="119" t="s">
        <v>9</v>
      </c>
    </row>
    <row r="2626" spans="1:12" ht="15.75" thickTop="1">
      <c r="C2626" s="43"/>
      <c r="F2626" s="120"/>
      <c r="G2626" s="57"/>
      <c r="J2626" s="121"/>
    </row>
    <row r="2627" spans="1:12" ht="15.75">
      <c r="A2627" s="3" t="s">
        <v>10</v>
      </c>
      <c r="B2627" s="103">
        <v>511832</v>
      </c>
      <c r="C2627" s="62">
        <v>1412</v>
      </c>
      <c r="D2627" s="61">
        <v>2.8E-3</v>
      </c>
      <c r="E2627" s="61"/>
      <c r="F2627" s="122">
        <v>2.5000000000000001E-3</v>
      </c>
      <c r="G2627" s="62">
        <v>510420</v>
      </c>
      <c r="H2627" s="64">
        <v>0.99719999999999998</v>
      </c>
      <c r="I2627" s="64"/>
      <c r="J2627" s="123">
        <v>0.99750000000000005</v>
      </c>
      <c r="K2627" s="1"/>
      <c r="L2627" s="1"/>
    </row>
    <row r="2628" spans="1:12" ht="15" customHeight="1">
      <c r="A2628" s="3" t="s">
        <v>11</v>
      </c>
      <c r="B2628" s="103">
        <v>48334</v>
      </c>
      <c r="C2628" s="57">
        <v>884</v>
      </c>
      <c r="D2628" s="61">
        <v>1.83E-2</v>
      </c>
      <c r="E2628" s="61"/>
      <c r="F2628" s="122">
        <v>1.8599999999999998E-2</v>
      </c>
      <c r="G2628" s="62">
        <v>47450</v>
      </c>
      <c r="H2628" s="64">
        <v>0.98170000000000002</v>
      </c>
      <c r="I2628" s="64"/>
      <c r="J2628" s="123">
        <v>0.98140000000000005</v>
      </c>
    </row>
    <row r="2629" spans="1:12" s="1" customFormat="1" ht="15.75">
      <c r="A2629" s="3" t="s">
        <v>12</v>
      </c>
      <c r="B2629" s="103">
        <v>11022</v>
      </c>
      <c r="C2629" s="62">
        <v>2448</v>
      </c>
      <c r="D2629" s="61">
        <v>0.22209999999999999</v>
      </c>
      <c r="E2629" s="61"/>
      <c r="F2629" s="122">
        <v>0.34399999999999997</v>
      </c>
      <c r="G2629" s="62">
        <v>8574</v>
      </c>
      <c r="H2629" s="64">
        <v>0.77790000000000004</v>
      </c>
      <c r="I2629" s="64"/>
      <c r="J2629" s="123">
        <v>0.65600000000000003</v>
      </c>
      <c r="K2629" s="3"/>
      <c r="L2629" s="3"/>
    </row>
    <row r="2630" spans="1:12">
      <c r="A2630" s="3" t="s">
        <v>13</v>
      </c>
      <c r="B2630" s="103">
        <v>444</v>
      </c>
      <c r="C2630" s="57">
        <v>303</v>
      </c>
      <c r="D2630" s="61">
        <v>0.68240000000000001</v>
      </c>
      <c r="E2630" s="61"/>
      <c r="F2630" s="122">
        <v>0.91659999999999997</v>
      </c>
      <c r="G2630" s="57">
        <v>141</v>
      </c>
      <c r="H2630" s="64">
        <v>0.31759999999999999</v>
      </c>
      <c r="I2630" s="64"/>
      <c r="J2630" s="123">
        <v>8.3400000000000002E-2</v>
      </c>
    </row>
    <row r="2631" spans="1:12" ht="15.75" thickBot="1">
      <c r="A2631" s="3" t="s">
        <v>181</v>
      </c>
      <c r="B2631" s="103">
        <v>433</v>
      </c>
      <c r="C2631" s="105">
        <v>7</v>
      </c>
      <c r="D2631" s="106">
        <v>1.6199999999999999E-2</v>
      </c>
      <c r="E2631" s="106"/>
      <c r="F2631" s="124">
        <v>0.22339999999999999</v>
      </c>
      <c r="G2631" s="50">
        <v>426</v>
      </c>
      <c r="H2631" s="68">
        <v>0.98380000000000001</v>
      </c>
      <c r="I2631" s="64"/>
      <c r="J2631" s="125">
        <v>0.77659999999999996</v>
      </c>
    </row>
    <row r="2632" spans="1:12" ht="17.25" thickTop="1" thickBot="1">
      <c r="A2632" s="34" t="s">
        <v>175</v>
      </c>
      <c r="B2632" s="84">
        <f>SUM(B2627:B2631)</f>
        <v>572065</v>
      </c>
      <c r="C2632" s="74">
        <f>SUM(C2627:C2631)</f>
        <v>5054</v>
      </c>
      <c r="D2632" s="107">
        <v>8.8000000000000005E-3</v>
      </c>
      <c r="E2632" s="107"/>
      <c r="F2632" s="73">
        <v>0.43959999999999999</v>
      </c>
      <c r="G2632" s="74">
        <f>SUM(G2627:G2631)</f>
        <v>567011</v>
      </c>
      <c r="H2632" s="75">
        <v>0.99119999999999997</v>
      </c>
      <c r="I2632" s="75"/>
      <c r="J2632" s="76">
        <v>0.56040000000000001</v>
      </c>
    </row>
    <row r="2634" spans="1:12" ht="16.5" thickBot="1">
      <c r="A2634" s="22"/>
      <c r="B2634" s="111" t="s">
        <v>249</v>
      </c>
      <c r="C2634" s="22"/>
      <c r="D2634" s="22"/>
      <c r="E2634" s="22"/>
      <c r="F2634" s="22"/>
      <c r="G2634" s="22"/>
      <c r="H2634" s="22"/>
      <c r="I2634" s="22"/>
      <c r="J2634" s="112"/>
    </row>
    <row r="2635" spans="1:12" ht="17.25" thickTop="1" thickBot="1">
      <c r="A2635" s="1" t="s">
        <v>277</v>
      </c>
      <c r="B2635" s="97"/>
      <c r="C2635" s="113" t="s">
        <v>179</v>
      </c>
      <c r="D2635" s="114"/>
      <c r="E2635" s="114"/>
      <c r="F2635" s="115"/>
      <c r="G2635" s="114" t="s">
        <v>180</v>
      </c>
      <c r="H2635" s="114"/>
      <c r="I2635" s="114"/>
      <c r="J2635" s="115"/>
    </row>
    <row r="2636" spans="1:12" ht="15.75" thickTop="1">
      <c r="B2636" s="42" t="s">
        <v>4</v>
      </c>
      <c r="C2636" s="43" t="s">
        <v>5</v>
      </c>
      <c r="D2636" s="44"/>
      <c r="E2636" s="44"/>
      <c r="F2636" s="116" t="s">
        <v>6</v>
      </c>
      <c r="G2636" s="43" t="s">
        <v>7</v>
      </c>
      <c r="H2636" s="46"/>
      <c r="I2636" s="46"/>
      <c r="J2636" s="117" t="s">
        <v>6</v>
      </c>
    </row>
    <row r="2637" spans="1:12" ht="14.45" customHeight="1" thickBot="1">
      <c r="B2637" s="49" t="s">
        <v>8</v>
      </c>
      <c r="C2637" s="50" t="s">
        <v>8</v>
      </c>
      <c r="D2637" s="51" t="s">
        <v>9</v>
      </c>
      <c r="E2637" s="51"/>
      <c r="F2637" s="118" t="s">
        <v>9</v>
      </c>
      <c r="G2637" s="53" t="s">
        <v>8</v>
      </c>
      <c r="H2637" s="54" t="s">
        <v>9</v>
      </c>
      <c r="I2637" s="54"/>
      <c r="J2637" s="119" t="s">
        <v>9</v>
      </c>
    </row>
    <row r="2638" spans="1:12" s="1" customFormat="1" ht="15" customHeight="1" thickTop="1">
      <c r="A2638" s="3"/>
      <c r="B2638" s="56"/>
      <c r="C2638" s="43"/>
      <c r="D2638" s="3"/>
      <c r="E2638" s="3"/>
      <c r="F2638" s="120"/>
      <c r="G2638" s="57"/>
      <c r="H2638" s="3"/>
      <c r="I2638" s="3"/>
      <c r="J2638" s="121"/>
      <c r="K2638" s="3"/>
      <c r="L2638" s="3"/>
    </row>
    <row r="2639" spans="1:12" ht="15.75">
      <c r="A2639" s="3" t="s">
        <v>10</v>
      </c>
      <c r="B2639" s="103">
        <v>510794</v>
      </c>
      <c r="C2639" s="62">
        <v>1410</v>
      </c>
      <c r="D2639" s="61">
        <v>2.8E-3</v>
      </c>
      <c r="E2639" s="61"/>
      <c r="F2639" s="122">
        <v>2.3999999999999998E-3</v>
      </c>
      <c r="G2639" s="62">
        <v>509384</v>
      </c>
      <c r="H2639" s="64">
        <v>0.99719999999999998</v>
      </c>
      <c r="I2639" s="64"/>
      <c r="J2639" s="123">
        <v>0.99760000000000004</v>
      </c>
      <c r="K2639" s="1"/>
      <c r="L2639" s="1"/>
    </row>
    <row r="2640" spans="1:12">
      <c r="A2640" s="3" t="s">
        <v>11</v>
      </c>
      <c r="B2640" s="103">
        <v>48233</v>
      </c>
      <c r="C2640" s="57">
        <v>876</v>
      </c>
      <c r="D2640" s="61">
        <v>1.8200000000000001E-2</v>
      </c>
      <c r="E2640" s="61"/>
      <c r="F2640" s="122">
        <v>1.77E-2</v>
      </c>
      <c r="G2640" s="62">
        <v>47357</v>
      </c>
      <c r="H2640" s="64">
        <v>0.98180000000000001</v>
      </c>
      <c r="I2640" s="64"/>
      <c r="J2640" s="123">
        <v>0.98229999999999995</v>
      </c>
    </row>
    <row r="2641" spans="1:12">
      <c r="A2641" s="3" t="s">
        <v>12</v>
      </c>
      <c r="B2641" s="103">
        <v>11070</v>
      </c>
      <c r="C2641" s="62">
        <v>2352</v>
      </c>
      <c r="D2641" s="61">
        <v>0.21249999999999999</v>
      </c>
      <c r="E2641" s="61"/>
      <c r="F2641" s="122">
        <v>0.31069999999999998</v>
      </c>
      <c r="G2641" s="62">
        <v>8718</v>
      </c>
      <c r="H2641" s="64">
        <v>0.78749999999999998</v>
      </c>
      <c r="I2641" s="64"/>
      <c r="J2641" s="123">
        <v>0.68930000000000002</v>
      </c>
    </row>
    <row r="2642" spans="1:12">
      <c r="A2642" s="3" t="s">
        <v>13</v>
      </c>
      <c r="B2642" s="103">
        <v>425</v>
      </c>
      <c r="C2642" s="57">
        <v>262</v>
      </c>
      <c r="D2642" s="61">
        <v>0.61650000000000005</v>
      </c>
      <c r="E2642" s="61"/>
      <c r="F2642" s="122">
        <v>0.89129999999999998</v>
      </c>
      <c r="G2642" s="57">
        <v>163</v>
      </c>
      <c r="H2642" s="64">
        <v>0.38350000000000001</v>
      </c>
      <c r="I2642" s="64"/>
      <c r="J2642" s="123">
        <v>0.1087</v>
      </c>
    </row>
    <row r="2643" spans="1:12" ht="15.75" thickBot="1">
      <c r="A2643" s="3" t="s">
        <v>181</v>
      </c>
      <c r="B2643" s="103">
        <v>434</v>
      </c>
      <c r="C2643" s="105">
        <v>7</v>
      </c>
      <c r="D2643" s="106">
        <v>1.61E-2</v>
      </c>
      <c r="E2643" s="106"/>
      <c r="F2643" s="124">
        <v>0.21709999999999999</v>
      </c>
      <c r="G2643" s="50">
        <v>427</v>
      </c>
      <c r="H2643" s="68">
        <v>0.9839</v>
      </c>
      <c r="I2643" s="64"/>
      <c r="J2643" s="125">
        <v>0.78290000000000004</v>
      </c>
    </row>
    <row r="2644" spans="1:12" ht="17.25" thickTop="1" thickBot="1">
      <c r="A2644" s="34" t="s">
        <v>175</v>
      </c>
      <c r="B2644" s="84">
        <f>SUM(B2639:B2643)</f>
        <v>570956</v>
      </c>
      <c r="C2644" s="74">
        <f>SUM(C2639:C2643)</f>
        <v>4907</v>
      </c>
      <c r="D2644" s="107">
        <v>8.6E-3</v>
      </c>
      <c r="E2644" s="107"/>
      <c r="F2644" s="73">
        <v>0.41520000000000001</v>
      </c>
      <c r="G2644" s="74">
        <f>SUM(G2639:G2643)</f>
        <v>566049</v>
      </c>
      <c r="H2644" s="75">
        <v>0.99139999999999995</v>
      </c>
      <c r="I2644" s="75"/>
      <c r="J2644" s="76">
        <v>0.58479999999999999</v>
      </c>
    </row>
    <row r="2646" spans="1:12" ht="16.5" thickBot="1">
      <c r="A2646" s="22"/>
      <c r="B2646" s="111" t="s">
        <v>249</v>
      </c>
      <c r="C2646" s="22"/>
      <c r="D2646" s="22"/>
      <c r="E2646" s="22"/>
      <c r="F2646" s="22"/>
      <c r="G2646" s="22"/>
      <c r="H2646" s="22"/>
      <c r="I2646" s="22"/>
      <c r="J2646" s="112"/>
    </row>
    <row r="2647" spans="1:12" ht="17.25" thickTop="1" thickBot="1">
      <c r="A2647" s="1" t="s">
        <v>278</v>
      </c>
      <c r="B2647" s="97"/>
      <c r="C2647" s="113" t="s">
        <v>179</v>
      </c>
      <c r="D2647" s="114"/>
      <c r="E2647" s="114"/>
      <c r="F2647" s="115"/>
      <c r="G2647" s="114" t="s">
        <v>180</v>
      </c>
      <c r="H2647" s="114"/>
      <c r="I2647" s="114"/>
      <c r="J2647" s="115"/>
    </row>
    <row r="2648" spans="1:12" ht="16.5" thickTop="1">
      <c r="B2648" s="42" t="s">
        <v>4</v>
      </c>
      <c r="C2648" s="43" t="s">
        <v>5</v>
      </c>
      <c r="D2648" s="44"/>
      <c r="E2648" s="44"/>
      <c r="F2648" s="116" t="s">
        <v>6</v>
      </c>
      <c r="G2648" s="43" t="s">
        <v>7</v>
      </c>
      <c r="H2648" s="46"/>
      <c r="I2648" s="46"/>
      <c r="J2648" s="117" t="s">
        <v>6</v>
      </c>
      <c r="K2648" s="1"/>
      <c r="L2648" s="1"/>
    </row>
    <row r="2649" spans="1:12" ht="15.75" thickBot="1">
      <c r="B2649" s="49" t="s">
        <v>8</v>
      </c>
      <c r="C2649" s="50" t="s">
        <v>8</v>
      </c>
      <c r="D2649" s="51" t="s">
        <v>9</v>
      </c>
      <c r="E2649" s="51"/>
      <c r="F2649" s="118" t="s">
        <v>9</v>
      </c>
      <c r="G2649" s="53" t="s">
        <v>8</v>
      </c>
      <c r="H2649" s="54" t="s">
        <v>9</v>
      </c>
      <c r="I2649" s="54"/>
      <c r="J2649" s="119" t="s">
        <v>9</v>
      </c>
    </row>
    <row r="2650" spans="1:12" ht="15.75" thickTop="1">
      <c r="C2650" s="43"/>
      <c r="F2650" s="120"/>
      <c r="G2650" s="57"/>
      <c r="J2650" s="121"/>
    </row>
    <row r="2651" spans="1:12">
      <c r="A2651" s="3" t="s">
        <v>10</v>
      </c>
      <c r="B2651" s="103">
        <v>510093</v>
      </c>
      <c r="C2651" s="62">
        <v>1400</v>
      </c>
      <c r="D2651" s="61">
        <v>2.7000000000000001E-3</v>
      </c>
      <c r="E2651" s="61"/>
      <c r="F2651" s="122">
        <v>2.3E-3</v>
      </c>
      <c r="G2651" s="62">
        <v>508693</v>
      </c>
      <c r="H2651" s="64">
        <v>0.99729999999999996</v>
      </c>
      <c r="I2651" s="64"/>
      <c r="J2651" s="123">
        <v>0.99770000000000003</v>
      </c>
    </row>
    <row r="2652" spans="1:12">
      <c r="A2652" s="3" t="s">
        <v>11</v>
      </c>
      <c r="B2652" s="103">
        <v>48355</v>
      </c>
      <c r="C2652" s="57">
        <v>873</v>
      </c>
      <c r="D2652" s="61">
        <v>1.8100000000000002E-2</v>
      </c>
      <c r="E2652" s="61"/>
      <c r="F2652" s="122">
        <v>1.7399999999999999E-2</v>
      </c>
      <c r="G2652" s="62">
        <v>47482</v>
      </c>
      <c r="H2652" s="64">
        <v>0.9819</v>
      </c>
      <c r="I2652" s="64"/>
      <c r="J2652" s="123">
        <v>0.98260000000000003</v>
      </c>
    </row>
    <row r="2653" spans="1:12">
      <c r="A2653" s="3" t="s">
        <v>12</v>
      </c>
      <c r="B2653" s="103">
        <v>10968</v>
      </c>
      <c r="C2653" s="62">
        <v>2396</v>
      </c>
      <c r="D2653" s="61">
        <v>0.2185</v>
      </c>
      <c r="E2653" s="61"/>
      <c r="F2653" s="122">
        <v>0.30930000000000002</v>
      </c>
      <c r="G2653" s="62">
        <v>8572</v>
      </c>
      <c r="H2653" s="64">
        <v>0.78149999999999997</v>
      </c>
      <c r="I2653" s="64"/>
      <c r="J2653" s="123">
        <v>0.69069999999999998</v>
      </c>
    </row>
    <row r="2654" spans="1:12">
      <c r="A2654" s="3" t="s">
        <v>13</v>
      </c>
      <c r="B2654" s="103">
        <v>423</v>
      </c>
      <c r="C2654" s="57">
        <v>253</v>
      </c>
      <c r="D2654" s="61">
        <v>0.59809999999999997</v>
      </c>
      <c r="E2654" s="61"/>
      <c r="F2654" s="122">
        <v>0.88839999999999997</v>
      </c>
      <c r="G2654" s="57">
        <v>170</v>
      </c>
      <c r="H2654" s="64">
        <v>0.40189999999999998</v>
      </c>
      <c r="I2654" s="64"/>
      <c r="J2654" s="123">
        <v>0.1116</v>
      </c>
    </row>
    <row r="2655" spans="1:12" ht="15.75" thickBot="1">
      <c r="A2655" s="3" t="s">
        <v>181</v>
      </c>
      <c r="B2655" s="103">
        <v>433</v>
      </c>
      <c r="C2655" s="105">
        <v>7</v>
      </c>
      <c r="D2655" s="106">
        <v>1.6199999999999999E-2</v>
      </c>
      <c r="E2655" s="106"/>
      <c r="F2655" s="124">
        <v>0.21609999999999999</v>
      </c>
      <c r="G2655" s="50">
        <v>426</v>
      </c>
      <c r="H2655" s="68">
        <v>0.98380000000000001</v>
      </c>
      <c r="I2655" s="64"/>
      <c r="J2655" s="125">
        <v>0.78390000000000004</v>
      </c>
    </row>
    <row r="2656" spans="1:12" ht="17.25" thickTop="1" thickBot="1">
      <c r="A2656" s="34" t="s">
        <v>175</v>
      </c>
      <c r="B2656" s="84">
        <f>SUM(B2651:B2655)</f>
        <v>570272</v>
      </c>
      <c r="C2656" s="74">
        <f>SUM(C2651:C2655)</f>
        <v>4929</v>
      </c>
      <c r="D2656" s="107">
        <v>8.6E-3</v>
      </c>
      <c r="E2656" s="107"/>
      <c r="F2656" s="73">
        <v>0.3826</v>
      </c>
      <c r="G2656" s="74">
        <f>SUM(G2651:G2655)</f>
        <v>565343</v>
      </c>
      <c r="H2656" s="75">
        <v>0.99139999999999995</v>
      </c>
      <c r="I2656" s="75"/>
      <c r="J2656" s="76">
        <v>0.61739999999999995</v>
      </c>
    </row>
    <row r="2658" spans="1:10" ht="16.5" thickBot="1">
      <c r="A2658" s="22"/>
      <c r="B2658" s="111" t="s">
        <v>249</v>
      </c>
      <c r="C2658" s="22"/>
      <c r="D2658" s="22"/>
      <c r="E2658" s="22"/>
      <c r="F2658" s="22"/>
      <c r="G2658" s="22"/>
      <c r="H2658" s="22"/>
      <c r="I2658" s="22"/>
      <c r="J2658" s="112"/>
    </row>
    <row r="2659" spans="1:10" ht="17.25" thickTop="1" thickBot="1">
      <c r="A2659" s="1" t="s">
        <v>279</v>
      </c>
      <c r="B2659" s="97"/>
      <c r="C2659" s="113" t="s">
        <v>179</v>
      </c>
      <c r="D2659" s="114"/>
      <c r="E2659" s="114"/>
      <c r="F2659" s="115"/>
      <c r="G2659" s="114" t="s">
        <v>180</v>
      </c>
      <c r="H2659" s="114"/>
      <c r="I2659" s="114"/>
      <c r="J2659" s="115"/>
    </row>
    <row r="2660" spans="1:10" ht="15.75" thickTop="1">
      <c r="B2660" s="42" t="s">
        <v>4</v>
      </c>
      <c r="C2660" s="43" t="s">
        <v>5</v>
      </c>
      <c r="D2660" s="44"/>
      <c r="E2660" s="44"/>
      <c r="F2660" s="116" t="s">
        <v>6</v>
      </c>
      <c r="G2660" s="43" t="s">
        <v>7</v>
      </c>
      <c r="H2660" s="46"/>
      <c r="I2660" s="46"/>
      <c r="J2660" s="117" t="s">
        <v>6</v>
      </c>
    </row>
    <row r="2661" spans="1:10" ht="15.75" thickBot="1">
      <c r="B2661" s="49" t="s">
        <v>8</v>
      </c>
      <c r="C2661" s="50" t="s">
        <v>8</v>
      </c>
      <c r="D2661" s="51" t="s">
        <v>9</v>
      </c>
      <c r="E2661" s="51"/>
      <c r="F2661" s="118" t="s">
        <v>9</v>
      </c>
      <c r="G2661" s="53" t="s">
        <v>8</v>
      </c>
      <c r="H2661" s="54" t="s">
        <v>9</v>
      </c>
      <c r="I2661" s="54"/>
      <c r="J2661" s="119" t="s">
        <v>9</v>
      </c>
    </row>
    <row r="2662" spans="1:10" ht="15.75" thickTop="1">
      <c r="C2662" s="43"/>
      <c r="F2662" s="120"/>
      <c r="G2662" s="57"/>
      <c r="J2662" s="121"/>
    </row>
    <row r="2663" spans="1:10">
      <c r="A2663" s="3" t="s">
        <v>10</v>
      </c>
      <c r="B2663" s="103">
        <v>509167</v>
      </c>
      <c r="C2663" s="62">
        <v>1369</v>
      </c>
      <c r="D2663" s="61">
        <v>2.7000000000000001E-3</v>
      </c>
      <c r="E2663" s="61"/>
      <c r="F2663" s="122">
        <v>2.3E-3</v>
      </c>
      <c r="G2663" s="62">
        <v>507798</v>
      </c>
      <c r="H2663" s="64">
        <v>0.99729999999999996</v>
      </c>
      <c r="I2663" s="64"/>
      <c r="J2663" s="123">
        <v>0.99770000000000003</v>
      </c>
    </row>
    <row r="2664" spans="1:10">
      <c r="A2664" s="3" t="s">
        <v>11</v>
      </c>
      <c r="B2664" s="103">
        <v>48293</v>
      </c>
      <c r="C2664" s="57">
        <v>872</v>
      </c>
      <c r="D2664" s="61">
        <v>1.8100000000000002E-2</v>
      </c>
      <c r="E2664" s="61"/>
      <c r="F2664" s="122">
        <v>1.7999999999999999E-2</v>
      </c>
      <c r="G2664" s="62">
        <v>47421</v>
      </c>
      <c r="H2664" s="64">
        <v>0.9819</v>
      </c>
      <c r="I2664" s="64"/>
      <c r="J2664" s="123">
        <v>0.98199999999999998</v>
      </c>
    </row>
    <row r="2665" spans="1:10">
      <c r="A2665" s="3" t="s">
        <v>12</v>
      </c>
      <c r="B2665" s="103">
        <v>10987</v>
      </c>
      <c r="C2665" s="62">
        <v>2403</v>
      </c>
      <c r="D2665" s="61">
        <v>0.21870000000000001</v>
      </c>
      <c r="E2665" s="61"/>
      <c r="F2665" s="122">
        <v>0.31309999999999999</v>
      </c>
      <c r="G2665" s="62">
        <v>8584</v>
      </c>
      <c r="H2665" s="64">
        <v>0.78129999999999999</v>
      </c>
      <c r="I2665" s="64"/>
      <c r="J2665" s="123">
        <v>0.68689999999999996</v>
      </c>
    </row>
    <row r="2666" spans="1:10">
      <c r="A2666" s="3" t="s">
        <v>13</v>
      </c>
      <c r="B2666" s="103">
        <v>421</v>
      </c>
      <c r="C2666" s="57">
        <v>248</v>
      </c>
      <c r="D2666" s="61">
        <v>0.58909999999999996</v>
      </c>
      <c r="E2666" s="61"/>
      <c r="F2666" s="122">
        <v>0.87270000000000003</v>
      </c>
      <c r="G2666" s="57">
        <v>173</v>
      </c>
      <c r="H2666" s="64">
        <v>0.41089999999999999</v>
      </c>
      <c r="I2666" s="64"/>
      <c r="J2666" s="123">
        <v>0.1273</v>
      </c>
    </row>
    <row r="2667" spans="1:10" ht="15.75" thickBot="1">
      <c r="A2667" s="3" t="s">
        <v>181</v>
      </c>
      <c r="B2667" s="103">
        <v>434</v>
      </c>
      <c r="C2667" s="105">
        <v>7</v>
      </c>
      <c r="D2667" s="106">
        <v>1.61E-2</v>
      </c>
      <c r="E2667" s="106"/>
      <c r="F2667" s="124">
        <v>0.2162</v>
      </c>
      <c r="G2667" s="50">
        <v>427</v>
      </c>
      <c r="H2667" s="68">
        <v>0.9839</v>
      </c>
      <c r="I2667" s="64"/>
      <c r="J2667" s="125">
        <v>0.78380000000000005</v>
      </c>
    </row>
    <row r="2668" spans="1:10" ht="17.25" thickTop="1" thickBot="1">
      <c r="A2668" s="34" t="s">
        <v>175</v>
      </c>
      <c r="B2668" s="84">
        <f>SUM(B2663:B2667)</f>
        <v>569302</v>
      </c>
      <c r="C2668" s="74">
        <f>SUM(C2663:C2667)</f>
        <v>4899</v>
      </c>
      <c r="D2668" s="107">
        <v>8.6E-3</v>
      </c>
      <c r="E2668" s="107"/>
      <c r="F2668" s="73">
        <v>0.38900000000000001</v>
      </c>
      <c r="G2668" s="74">
        <f>SUM(G2663:G2667)</f>
        <v>564403</v>
      </c>
      <c r="H2668" s="75">
        <v>0.99139999999999995</v>
      </c>
      <c r="I2668" s="75"/>
      <c r="J2668" s="76">
        <v>0.61099999999999999</v>
      </c>
    </row>
    <row r="2670" spans="1:10" ht="16.5" thickBot="1">
      <c r="A2670" s="22"/>
      <c r="B2670" s="111" t="s">
        <v>249</v>
      </c>
      <c r="C2670" s="22"/>
      <c r="D2670" s="22"/>
      <c r="E2670" s="22"/>
      <c r="F2670" s="22"/>
      <c r="G2670" s="22"/>
      <c r="H2670" s="22"/>
      <c r="I2670" s="22"/>
      <c r="J2670" s="112"/>
    </row>
    <row r="2671" spans="1:10" ht="17.25" thickTop="1" thickBot="1">
      <c r="A2671" s="1" t="s">
        <v>280</v>
      </c>
      <c r="B2671" s="97"/>
      <c r="C2671" s="113" t="s">
        <v>179</v>
      </c>
      <c r="D2671" s="114"/>
      <c r="E2671" s="114"/>
      <c r="F2671" s="115"/>
      <c r="G2671" s="114" t="s">
        <v>180</v>
      </c>
      <c r="H2671" s="114"/>
      <c r="I2671" s="114"/>
      <c r="J2671" s="115"/>
    </row>
    <row r="2672" spans="1:10" ht="15.75" thickTop="1">
      <c r="B2672" s="42" t="s">
        <v>4</v>
      </c>
      <c r="C2672" s="43" t="s">
        <v>5</v>
      </c>
      <c r="D2672" s="44"/>
      <c r="E2672" s="44"/>
      <c r="F2672" s="116" t="s">
        <v>6</v>
      </c>
      <c r="G2672" s="43" t="s">
        <v>7</v>
      </c>
      <c r="H2672" s="46"/>
      <c r="I2672" s="46"/>
      <c r="J2672" s="117" t="s">
        <v>6</v>
      </c>
    </row>
    <row r="2673" spans="1:10" ht="15.75" thickBot="1">
      <c r="B2673" s="49" t="s">
        <v>8</v>
      </c>
      <c r="C2673" s="50" t="s">
        <v>8</v>
      </c>
      <c r="D2673" s="51" t="s">
        <v>9</v>
      </c>
      <c r="E2673" s="51"/>
      <c r="F2673" s="118" t="s">
        <v>9</v>
      </c>
      <c r="G2673" s="53" t="s">
        <v>8</v>
      </c>
      <c r="H2673" s="54" t="s">
        <v>9</v>
      </c>
      <c r="I2673" s="54"/>
      <c r="J2673" s="119" t="s">
        <v>9</v>
      </c>
    </row>
    <row r="2674" spans="1:10" ht="15.75" thickTop="1">
      <c r="C2674" s="43"/>
      <c r="F2674" s="120"/>
      <c r="G2674" s="57"/>
      <c r="J2674" s="121"/>
    </row>
    <row r="2675" spans="1:10">
      <c r="A2675" s="3" t="s">
        <v>10</v>
      </c>
      <c r="B2675" s="103">
        <v>508396</v>
      </c>
      <c r="C2675" s="62">
        <v>1347</v>
      </c>
      <c r="D2675" s="61">
        <v>2.5999999999999999E-3</v>
      </c>
      <c r="E2675" s="61"/>
      <c r="F2675" s="122">
        <v>2.3E-3</v>
      </c>
      <c r="G2675" s="62">
        <v>507049</v>
      </c>
      <c r="H2675" s="64">
        <v>0.99739999999999995</v>
      </c>
      <c r="I2675" s="64"/>
      <c r="J2675" s="123">
        <v>0.99770000000000003</v>
      </c>
    </row>
    <row r="2676" spans="1:10">
      <c r="A2676" s="3" t="s">
        <v>11</v>
      </c>
      <c r="B2676" s="103">
        <v>48280</v>
      </c>
      <c r="C2676" s="57">
        <v>872</v>
      </c>
      <c r="D2676" s="61">
        <v>1.8100000000000002E-2</v>
      </c>
      <c r="E2676" s="61"/>
      <c r="F2676" s="122">
        <v>1.9800000000000002E-2</v>
      </c>
      <c r="G2676" s="62">
        <v>47408</v>
      </c>
      <c r="H2676" s="64">
        <v>0.9819</v>
      </c>
      <c r="I2676" s="64"/>
      <c r="J2676" s="123">
        <v>0.98019999999999996</v>
      </c>
    </row>
    <row r="2677" spans="1:10">
      <c r="A2677" s="3" t="s">
        <v>12</v>
      </c>
      <c r="B2677" s="103">
        <v>10964</v>
      </c>
      <c r="C2677" s="62">
        <v>2419</v>
      </c>
      <c r="D2677" s="61">
        <v>0.22059999999999999</v>
      </c>
      <c r="E2677" s="61"/>
      <c r="F2677" s="122">
        <v>0.3301</v>
      </c>
      <c r="G2677" s="62">
        <v>8545</v>
      </c>
      <c r="H2677" s="64">
        <v>0.77939999999999998</v>
      </c>
      <c r="I2677" s="64"/>
      <c r="J2677" s="123">
        <v>0.66990000000000005</v>
      </c>
    </row>
    <row r="2678" spans="1:10">
      <c r="A2678" s="3" t="s">
        <v>13</v>
      </c>
      <c r="B2678" s="103">
        <v>420</v>
      </c>
      <c r="C2678" s="57">
        <v>248</v>
      </c>
      <c r="D2678" s="61">
        <v>0.59050000000000002</v>
      </c>
      <c r="E2678" s="61"/>
      <c r="F2678" s="122">
        <v>0.89439999999999997</v>
      </c>
      <c r="G2678" s="57">
        <v>172</v>
      </c>
      <c r="H2678" s="64">
        <v>0.40949999999999998</v>
      </c>
      <c r="I2678" s="64"/>
      <c r="J2678" s="123">
        <v>0.1055</v>
      </c>
    </row>
    <row r="2679" spans="1:10" ht="15.75" thickBot="1">
      <c r="A2679" s="3" t="s">
        <v>181</v>
      </c>
      <c r="B2679" s="103">
        <v>433</v>
      </c>
      <c r="C2679" s="105">
        <v>7</v>
      </c>
      <c r="D2679" s="106">
        <v>1.6199999999999999E-2</v>
      </c>
      <c r="E2679" s="106"/>
      <c r="F2679" s="124">
        <v>0.218</v>
      </c>
      <c r="G2679" s="50">
        <v>426</v>
      </c>
      <c r="H2679" s="68">
        <v>0.98380000000000001</v>
      </c>
      <c r="I2679" s="64"/>
      <c r="J2679" s="125">
        <v>0.7823</v>
      </c>
    </row>
    <row r="2680" spans="1:10" ht="17.25" thickTop="1" thickBot="1">
      <c r="A2680" s="34" t="s">
        <v>175</v>
      </c>
      <c r="B2680" s="84">
        <f>SUM(B2675:B2679)</f>
        <v>568493</v>
      </c>
      <c r="C2680" s="74">
        <f>SUM(C2675:C2679)</f>
        <v>4893</v>
      </c>
      <c r="D2680" s="107">
        <v>8.6E-3</v>
      </c>
      <c r="E2680" s="107"/>
      <c r="F2680" s="73">
        <v>0.4335</v>
      </c>
      <c r="G2680" s="74">
        <f>SUM(G2675:G2679)</f>
        <v>563600</v>
      </c>
      <c r="H2680" s="75">
        <v>0.99139999999999995</v>
      </c>
      <c r="I2680" s="75"/>
      <c r="J2680" s="76">
        <v>0.5665</v>
      </c>
    </row>
    <row r="2682" spans="1:10" ht="16.5" thickBot="1">
      <c r="A2682" s="22"/>
      <c r="B2682" s="111" t="s">
        <v>249</v>
      </c>
      <c r="C2682" s="22"/>
      <c r="D2682" s="22"/>
      <c r="E2682" s="22"/>
      <c r="F2682" s="22"/>
      <c r="G2682" s="22"/>
      <c r="H2682" s="22"/>
      <c r="I2682" s="22"/>
      <c r="J2682" s="112"/>
    </row>
    <row r="2683" spans="1:10" ht="17.25" thickTop="1" thickBot="1">
      <c r="A2683" s="1" t="s">
        <v>281</v>
      </c>
      <c r="B2683" s="97"/>
      <c r="C2683" s="113" t="s">
        <v>179</v>
      </c>
      <c r="D2683" s="114"/>
      <c r="E2683" s="114"/>
      <c r="F2683" s="115"/>
      <c r="G2683" s="114" t="s">
        <v>180</v>
      </c>
      <c r="H2683" s="114"/>
      <c r="I2683" s="114"/>
      <c r="J2683" s="115"/>
    </row>
    <row r="2684" spans="1:10" ht="15.75" thickTop="1">
      <c r="B2684" s="42" t="s">
        <v>4</v>
      </c>
      <c r="C2684" s="43" t="s">
        <v>5</v>
      </c>
      <c r="D2684" s="44"/>
      <c r="E2684" s="44"/>
      <c r="F2684" s="116" t="s">
        <v>6</v>
      </c>
      <c r="G2684" s="43" t="s">
        <v>7</v>
      </c>
      <c r="H2684" s="46"/>
      <c r="I2684" s="46"/>
      <c r="J2684" s="117" t="s">
        <v>6</v>
      </c>
    </row>
    <row r="2685" spans="1:10" ht="15.75" thickBot="1">
      <c r="B2685" s="49" t="s">
        <v>8</v>
      </c>
      <c r="C2685" s="50" t="s">
        <v>8</v>
      </c>
      <c r="D2685" s="51" t="s">
        <v>9</v>
      </c>
      <c r="E2685" s="51"/>
      <c r="F2685" s="118" t="s">
        <v>9</v>
      </c>
      <c r="G2685" s="53" t="s">
        <v>8</v>
      </c>
      <c r="H2685" s="54" t="s">
        <v>9</v>
      </c>
      <c r="I2685" s="54"/>
      <c r="J2685" s="119" t="s">
        <v>9</v>
      </c>
    </row>
    <row r="2686" spans="1:10" ht="15.75" thickTop="1">
      <c r="C2686" s="43"/>
      <c r="F2686" s="120"/>
      <c r="G2686" s="57"/>
      <c r="J2686" s="121"/>
    </row>
    <row r="2687" spans="1:10">
      <c r="A2687" s="3" t="s">
        <v>10</v>
      </c>
      <c r="B2687" s="103">
        <v>507759</v>
      </c>
      <c r="C2687" s="62">
        <v>1314</v>
      </c>
      <c r="D2687" s="61">
        <v>2.5999999999999999E-3</v>
      </c>
      <c r="E2687" s="61"/>
      <c r="F2687" s="122">
        <v>2.3E-3</v>
      </c>
      <c r="G2687" s="62">
        <v>506445</v>
      </c>
      <c r="H2687" s="64">
        <v>0.99739999999999995</v>
      </c>
      <c r="I2687" s="64"/>
      <c r="J2687" s="123">
        <v>0.99770000000000003</v>
      </c>
    </row>
    <row r="2688" spans="1:10">
      <c r="A2688" s="3" t="s">
        <v>11</v>
      </c>
      <c r="B2688" s="103">
        <v>48315</v>
      </c>
      <c r="C2688" s="57">
        <v>871</v>
      </c>
      <c r="D2688" s="61">
        <v>1.7999999999999999E-2</v>
      </c>
      <c r="E2688" s="61"/>
      <c r="F2688" s="122">
        <v>2.1100000000000001E-2</v>
      </c>
      <c r="G2688" s="62">
        <v>47444</v>
      </c>
      <c r="H2688" s="64">
        <v>0.98199999999999998</v>
      </c>
      <c r="I2688" s="64"/>
      <c r="J2688" s="123">
        <v>0.97889999999999999</v>
      </c>
    </row>
    <row r="2689" spans="1:10">
      <c r="A2689" s="3" t="s">
        <v>12</v>
      </c>
      <c r="B2689" s="103">
        <v>10898</v>
      </c>
      <c r="C2689" s="62">
        <v>2520</v>
      </c>
      <c r="D2689" s="61">
        <v>0.23119999999999999</v>
      </c>
      <c r="E2689" s="61"/>
      <c r="F2689" s="122">
        <v>0.34699999999999998</v>
      </c>
      <c r="G2689" s="62">
        <v>8378</v>
      </c>
      <c r="H2689" s="64">
        <v>0.76880000000000004</v>
      </c>
      <c r="I2689" s="64"/>
      <c r="J2689" s="123">
        <v>0.65300000000000002</v>
      </c>
    </row>
    <row r="2690" spans="1:10">
      <c r="A2690" s="3" t="s">
        <v>13</v>
      </c>
      <c r="B2690" s="103">
        <v>418</v>
      </c>
      <c r="C2690" s="57">
        <v>248</v>
      </c>
      <c r="D2690" s="61">
        <v>0.59330000000000005</v>
      </c>
      <c r="E2690" s="61"/>
      <c r="F2690" s="122">
        <v>0.87029999999999996</v>
      </c>
      <c r="G2690" s="57">
        <v>170</v>
      </c>
      <c r="H2690" s="64">
        <v>0.40670000000000001</v>
      </c>
      <c r="I2690" s="64"/>
      <c r="J2690" s="123">
        <v>0.12970000000000001</v>
      </c>
    </row>
    <row r="2691" spans="1:10" ht="15.75" thickBot="1">
      <c r="A2691" s="3" t="s">
        <v>181</v>
      </c>
      <c r="B2691" s="103">
        <v>433</v>
      </c>
      <c r="C2691" s="105">
        <v>8</v>
      </c>
      <c r="D2691" s="106">
        <v>1.8499999999999999E-2</v>
      </c>
      <c r="E2691" s="106"/>
      <c r="F2691" s="124">
        <v>0.22520000000000001</v>
      </c>
      <c r="G2691" s="50">
        <v>425</v>
      </c>
      <c r="H2691" s="68">
        <v>0.98150000000000004</v>
      </c>
      <c r="I2691" s="64"/>
      <c r="J2691" s="125">
        <v>0.77480000000000004</v>
      </c>
    </row>
    <row r="2692" spans="1:10" ht="17.25" thickTop="1" thickBot="1">
      <c r="A2692" s="34" t="s">
        <v>175</v>
      </c>
      <c r="B2692" s="84">
        <f>SUM(B2687:B2691)</f>
        <v>567823</v>
      </c>
      <c r="C2692" s="74">
        <f>SUM(C2687:C2691)</f>
        <v>4961</v>
      </c>
      <c r="D2692" s="107">
        <v>8.6999999999999994E-3</v>
      </c>
      <c r="E2692" s="107"/>
      <c r="F2692" s="73">
        <v>0.3841</v>
      </c>
      <c r="G2692" s="74">
        <f>SUM(G2687:G2691)</f>
        <v>562862</v>
      </c>
      <c r="H2692" s="75">
        <v>0.99129999999999996</v>
      </c>
      <c r="I2692" s="75"/>
      <c r="J2692" s="76">
        <v>0.6159</v>
      </c>
    </row>
    <row r="2694" spans="1:10" ht="16.5" thickBot="1">
      <c r="A2694" s="22"/>
      <c r="B2694" s="111" t="s">
        <v>249</v>
      </c>
      <c r="C2694" s="22"/>
      <c r="D2694" s="22"/>
      <c r="E2694" s="22"/>
      <c r="F2694" s="22"/>
      <c r="G2694" s="22"/>
      <c r="H2694" s="22"/>
      <c r="I2694" s="22"/>
      <c r="J2694" s="112"/>
    </row>
    <row r="2695" spans="1:10" ht="17.25" thickTop="1" thickBot="1">
      <c r="A2695" s="1" t="s">
        <v>282</v>
      </c>
      <c r="B2695" s="97"/>
      <c r="C2695" s="113" t="s">
        <v>179</v>
      </c>
      <c r="D2695" s="114"/>
      <c r="E2695" s="114"/>
      <c r="F2695" s="115"/>
      <c r="G2695" s="114" t="s">
        <v>180</v>
      </c>
      <c r="H2695" s="114"/>
      <c r="I2695" s="114"/>
      <c r="J2695" s="115"/>
    </row>
    <row r="2696" spans="1:10" ht="15.75" thickTop="1">
      <c r="B2696" s="42" t="s">
        <v>4</v>
      </c>
      <c r="C2696" s="43" t="s">
        <v>5</v>
      </c>
      <c r="D2696" s="44"/>
      <c r="E2696" s="44"/>
      <c r="F2696" s="116" t="s">
        <v>6</v>
      </c>
      <c r="G2696" s="43" t="s">
        <v>7</v>
      </c>
      <c r="H2696" s="46"/>
      <c r="I2696" s="46"/>
      <c r="J2696" s="117" t="s">
        <v>6</v>
      </c>
    </row>
    <row r="2697" spans="1:10" ht="15.75" thickBot="1">
      <c r="B2697" s="49" t="s">
        <v>8</v>
      </c>
      <c r="C2697" s="50" t="s">
        <v>8</v>
      </c>
      <c r="D2697" s="51" t="s">
        <v>9</v>
      </c>
      <c r="E2697" s="51"/>
      <c r="F2697" s="118" t="s">
        <v>9</v>
      </c>
      <c r="G2697" s="53" t="s">
        <v>8</v>
      </c>
      <c r="H2697" s="54" t="s">
        <v>9</v>
      </c>
      <c r="I2697" s="54"/>
      <c r="J2697" s="119" t="s">
        <v>9</v>
      </c>
    </row>
    <row r="2698" spans="1:10" ht="15.75" thickTop="1">
      <c r="C2698" s="43"/>
      <c r="F2698" s="120"/>
      <c r="G2698" s="57"/>
      <c r="J2698" s="121"/>
    </row>
    <row r="2699" spans="1:10">
      <c r="A2699" s="3" t="s">
        <v>10</v>
      </c>
      <c r="B2699" s="103">
        <v>507833</v>
      </c>
      <c r="C2699" s="62">
        <v>1260</v>
      </c>
      <c r="D2699" s="61">
        <v>2.5000000000000001E-3</v>
      </c>
      <c r="E2699" s="61"/>
      <c r="F2699" s="122">
        <v>2.2000000000000001E-3</v>
      </c>
      <c r="G2699" s="62">
        <v>506573</v>
      </c>
      <c r="H2699" s="64">
        <v>0.99750000000000005</v>
      </c>
      <c r="I2699" s="64"/>
      <c r="J2699" s="123">
        <v>0.99780000000000002</v>
      </c>
    </row>
    <row r="2700" spans="1:10">
      <c r="A2700" s="3" t="s">
        <v>11</v>
      </c>
      <c r="B2700" s="103">
        <v>48222</v>
      </c>
      <c r="C2700" s="57">
        <v>856</v>
      </c>
      <c r="D2700" s="61">
        <v>1.78E-2</v>
      </c>
      <c r="E2700" s="61"/>
      <c r="F2700" s="122">
        <v>2.3400000000000001E-2</v>
      </c>
      <c r="G2700" s="62">
        <v>47366</v>
      </c>
      <c r="H2700" s="64">
        <v>0.98219999999999996</v>
      </c>
      <c r="I2700" s="64"/>
      <c r="J2700" s="123">
        <v>0.97660000000000002</v>
      </c>
    </row>
    <row r="2701" spans="1:10">
      <c r="A2701" s="3" t="s">
        <v>12</v>
      </c>
      <c r="B2701" s="103">
        <v>10924</v>
      </c>
      <c r="C2701" s="62">
        <v>2542</v>
      </c>
      <c r="D2701" s="61">
        <v>0.23269999999999999</v>
      </c>
      <c r="E2701" s="61"/>
      <c r="F2701" s="122">
        <v>0.35549999999999998</v>
      </c>
      <c r="G2701" s="62">
        <v>8382</v>
      </c>
      <c r="H2701" s="64">
        <v>0.76729999999999998</v>
      </c>
      <c r="I2701" s="64"/>
      <c r="J2701" s="123">
        <v>0.64449999999999996</v>
      </c>
    </row>
    <row r="2702" spans="1:10">
      <c r="A2702" s="3" t="s">
        <v>13</v>
      </c>
      <c r="B2702" s="103">
        <v>419</v>
      </c>
      <c r="C2702" s="57">
        <v>248</v>
      </c>
      <c r="D2702" s="61">
        <v>0.59189999999999998</v>
      </c>
      <c r="E2702" s="61"/>
      <c r="F2702" s="122">
        <v>0.86939999999999995</v>
      </c>
      <c r="G2702" s="57">
        <v>171</v>
      </c>
      <c r="H2702" s="64">
        <v>0.40810000000000002</v>
      </c>
      <c r="I2702" s="64"/>
      <c r="J2702" s="123">
        <v>0.13059999999999999</v>
      </c>
    </row>
    <row r="2703" spans="1:10" ht="15.75" thickBot="1">
      <c r="A2703" s="3" t="s">
        <v>181</v>
      </c>
      <c r="B2703" s="103">
        <v>433</v>
      </c>
      <c r="C2703" s="105">
        <v>8</v>
      </c>
      <c r="D2703" s="106">
        <v>1.8499999999999999E-2</v>
      </c>
      <c r="E2703" s="106"/>
      <c r="F2703" s="124">
        <v>0.2271</v>
      </c>
      <c r="G2703" s="50">
        <v>425</v>
      </c>
      <c r="H2703" s="68">
        <v>0.98150000000000004</v>
      </c>
      <c r="I2703" s="64"/>
      <c r="J2703" s="125">
        <v>0.77290000000000003</v>
      </c>
    </row>
    <row r="2704" spans="1:10" ht="17.25" thickTop="1" thickBot="1">
      <c r="A2704" s="34" t="s">
        <v>175</v>
      </c>
      <c r="B2704" s="84">
        <f>SUM(B2699:B2703)</f>
        <v>567831</v>
      </c>
      <c r="C2704" s="74">
        <f>SUM(C2699:C2703)</f>
        <v>4914</v>
      </c>
      <c r="D2704" s="107">
        <v>8.6999999999999994E-3</v>
      </c>
      <c r="E2704" s="107"/>
      <c r="F2704" s="73">
        <v>0.3911</v>
      </c>
      <c r="G2704" s="74">
        <f>SUM(G2699:G2703)</f>
        <v>562917</v>
      </c>
      <c r="H2704" s="75">
        <v>0.99129999999999996</v>
      </c>
      <c r="I2704" s="75"/>
      <c r="J2704" s="76">
        <v>0.6089</v>
      </c>
    </row>
    <row r="2706" spans="1:10" ht="16.5" thickBot="1">
      <c r="A2706" s="22"/>
      <c r="B2706" s="111" t="s">
        <v>249</v>
      </c>
      <c r="C2706" s="22"/>
      <c r="D2706" s="22"/>
      <c r="E2706" s="22"/>
      <c r="F2706" s="22"/>
      <c r="G2706" s="22"/>
      <c r="H2706" s="22"/>
      <c r="I2706" s="22"/>
      <c r="J2706" s="112"/>
    </row>
    <row r="2707" spans="1:10" ht="17.25" thickTop="1" thickBot="1">
      <c r="A2707" s="1" t="s">
        <v>283</v>
      </c>
      <c r="B2707" s="97"/>
      <c r="C2707" s="113" t="s">
        <v>179</v>
      </c>
      <c r="D2707" s="114"/>
      <c r="E2707" s="114"/>
      <c r="F2707" s="115"/>
      <c r="G2707" s="114" t="s">
        <v>180</v>
      </c>
      <c r="H2707" s="114"/>
      <c r="I2707" s="114"/>
      <c r="J2707" s="115"/>
    </row>
    <row r="2708" spans="1:10" ht="15.75" thickTop="1">
      <c r="B2708" s="42" t="s">
        <v>4</v>
      </c>
      <c r="C2708" s="43" t="s">
        <v>5</v>
      </c>
      <c r="D2708" s="44"/>
      <c r="E2708" s="44"/>
      <c r="F2708" s="116" t="s">
        <v>6</v>
      </c>
      <c r="G2708" s="43" t="s">
        <v>7</v>
      </c>
      <c r="H2708" s="46"/>
      <c r="I2708" s="46"/>
      <c r="J2708" s="117" t="s">
        <v>6</v>
      </c>
    </row>
    <row r="2709" spans="1:10" ht="15.75" thickBot="1">
      <c r="B2709" s="49" t="s">
        <v>8</v>
      </c>
      <c r="C2709" s="50" t="s">
        <v>8</v>
      </c>
      <c r="D2709" s="51" t="s">
        <v>9</v>
      </c>
      <c r="E2709" s="51"/>
      <c r="F2709" s="118" t="s">
        <v>9</v>
      </c>
      <c r="G2709" s="53" t="s">
        <v>8</v>
      </c>
      <c r="H2709" s="54" t="s">
        <v>9</v>
      </c>
      <c r="I2709" s="54"/>
      <c r="J2709" s="119" t="s">
        <v>9</v>
      </c>
    </row>
    <row r="2710" spans="1:10" ht="15.75" thickTop="1">
      <c r="C2710" s="43"/>
      <c r="F2710" s="120"/>
      <c r="G2710" s="57"/>
      <c r="J2710" s="121"/>
    </row>
    <row r="2711" spans="1:10">
      <c r="A2711" s="3" t="s">
        <v>10</v>
      </c>
      <c r="B2711" s="103">
        <v>507437</v>
      </c>
      <c r="C2711" s="62">
        <v>1216</v>
      </c>
      <c r="D2711" s="61">
        <v>2.3999999999999998E-3</v>
      </c>
      <c r="E2711" s="61"/>
      <c r="F2711" s="122">
        <v>2.0999999999999999E-3</v>
      </c>
      <c r="G2711" s="62">
        <v>506221</v>
      </c>
      <c r="H2711" s="64">
        <v>0.99760000000000004</v>
      </c>
      <c r="I2711" s="64"/>
      <c r="J2711" s="123">
        <v>0.99790000000000001</v>
      </c>
    </row>
    <row r="2712" spans="1:10">
      <c r="A2712" s="3" t="s">
        <v>11</v>
      </c>
      <c r="B2712" s="103">
        <v>48156</v>
      </c>
      <c r="C2712" s="57">
        <v>850</v>
      </c>
      <c r="D2712" s="61">
        <v>1.77E-2</v>
      </c>
      <c r="E2712" s="61"/>
      <c r="F2712" s="122">
        <v>2.3E-2</v>
      </c>
      <c r="G2712" s="62">
        <v>47306</v>
      </c>
      <c r="H2712" s="64">
        <v>0.98229999999999995</v>
      </c>
      <c r="I2712" s="64"/>
      <c r="J2712" s="123">
        <v>0.97699999999999998</v>
      </c>
    </row>
    <row r="2713" spans="1:10">
      <c r="A2713" s="3" t="s">
        <v>12</v>
      </c>
      <c r="B2713" s="103">
        <v>10896</v>
      </c>
      <c r="C2713" s="62">
        <v>2554</v>
      </c>
      <c r="D2713" s="61">
        <v>0.2344</v>
      </c>
      <c r="E2713" s="61"/>
      <c r="F2713" s="122">
        <v>0.3468</v>
      </c>
      <c r="G2713" s="62">
        <v>8342</v>
      </c>
      <c r="H2713" s="64">
        <v>0.76559999999999995</v>
      </c>
      <c r="I2713" s="64"/>
      <c r="J2713" s="123">
        <v>0.6532</v>
      </c>
    </row>
    <row r="2714" spans="1:10">
      <c r="A2714" s="3" t="s">
        <v>13</v>
      </c>
      <c r="B2714" s="103">
        <v>420</v>
      </c>
      <c r="C2714" s="57">
        <v>249</v>
      </c>
      <c r="D2714" s="61">
        <v>0.59289999999999998</v>
      </c>
      <c r="E2714" s="61"/>
      <c r="F2714" s="122">
        <v>0.86399999999999999</v>
      </c>
      <c r="G2714" s="57">
        <v>171</v>
      </c>
      <c r="H2714" s="64">
        <v>0.40710000000000002</v>
      </c>
      <c r="I2714" s="64"/>
      <c r="J2714" s="123">
        <v>0.13600000000000001</v>
      </c>
    </row>
    <row r="2715" spans="1:10" ht="15.75" thickBot="1">
      <c r="A2715" s="3" t="s">
        <v>181</v>
      </c>
      <c r="B2715" s="103">
        <v>432</v>
      </c>
      <c r="C2715" s="105">
        <v>8</v>
      </c>
      <c r="D2715" s="106">
        <v>1.8499999999999999E-2</v>
      </c>
      <c r="E2715" s="106"/>
      <c r="F2715" s="124">
        <v>0.22650000000000001</v>
      </c>
      <c r="G2715" s="50">
        <v>424</v>
      </c>
      <c r="H2715" s="68">
        <v>0.98150000000000004</v>
      </c>
      <c r="I2715" s="64"/>
      <c r="J2715" s="125">
        <v>0.77349999999999997</v>
      </c>
    </row>
    <row r="2716" spans="1:10" ht="17.25" thickTop="1" thickBot="1">
      <c r="A2716" s="34" t="s">
        <v>175</v>
      </c>
      <c r="B2716" s="84">
        <f>SUM(B2711:B2715)</f>
        <v>567341</v>
      </c>
      <c r="C2716" s="74">
        <f>SUM(C2711:C2715)</f>
        <v>4877</v>
      </c>
      <c r="D2716" s="107">
        <v>8.6E-3</v>
      </c>
      <c r="E2716" s="107"/>
      <c r="F2716" s="73">
        <v>0.35880000000000001</v>
      </c>
      <c r="G2716" s="74">
        <f>SUM(G2711:G2715)</f>
        <v>562464</v>
      </c>
      <c r="H2716" s="75">
        <v>0.99139999999999995</v>
      </c>
      <c r="I2716" s="75"/>
      <c r="J2716" s="76">
        <v>0.64119999999999999</v>
      </c>
    </row>
    <row r="2719" spans="1:10" ht="16.5" thickBot="1">
      <c r="A2719" s="22"/>
      <c r="B2719" s="111" t="s">
        <v>249</v>
      </c>
      <c r="C2719" s="22"/>
      <c r="D2719" s="22"/>
      <c r="E2719" s="22"/>
      <c r="F2719" s="22"/>
      <c r="G2719" s="22"/>
      <c r="H2719" s="22"/>
      <c r="I2719" s="22"/>
      <c r="J2719" s="112"/>
    </row>
    <row r="2720" spans="1:10" ht="17.25" thickTop="1" thickBot="1">
      <c r="A2720" s="1" t="s">
        <v>284</v>
      </c>
      <c r="B2720" s="97"/>
      <c r="C2720" s="113" t="s">
        <v>179</v>
      </c>
      <c r="D2720" s="114"/>
      <c r="E2720" s="114"/>
      <c r="F2720" s="115"/>
      <c r="G2720" s="114" t="s">
        <v>180</v>
      </c>
      <c r="H2720" s="114"/>
      <c r="I2720" s="114"/>
      <c r="J2720" s="115"/>
    </row>
    <row r="2721" spans="1:10" ht="15.75" thickTop="1">
      <c r="B2721" s="42" t="s">
        <v>4</v>
      </c>
      <c r="C2721" s="43" t="s">
        <v>5</v>
      </c>
      <c r="D2721" s="44"/>
      <c r="E2721" s="44"/>
      <c r="F2721" s="116" t="s">
        <v>6</v>
      </c>
      <c r="G2721" s="43" t="s">
        <v>7</v>
      </c>
      <c r="H2721" s="46"/>
      <c r="I2721" s="46"/>
      <c r="J2721" s="117" t="s">
        <v>6</v>
      </c>
    </row>
    <row r="2722" spans="1:10" ht="15.75" thickBot="1">
      <c r="B2722" s="49" t="s">
        <v>8</v>
      </c>
      <c r="C2722" s="50" t="s">
        <v>8</v>
      </c>
      <c r="D2722" s="51" t="s">
        <v>9</v>
      </c>
      <c r="E2722" s="51"/>
      <c r="F2722" s="118" t="s">
        <v>9</v>
      </c>
      <c r="G2722" s="53" t="s">
        <v>8</v>
      </c>
      <c r="H2722" s="54" t="s">
        <v>9</v>
      </c>
      <c r="I2722" s="54"/>
      <c r="J2722" s="119" t="s">
        <v>9</v>
      </c>
    </row>
    <row r="2723" spans="1:10" ht="15.75" thickTop="1">
      <c r="C2723" s="43"/>
      <c r="F2723" s="120"/>
      <c r="G2723" s="57"/>
      <c r="J2723" s="121"/>
    </row>
    <row r="2724" spans="1:10">
      <c r="A2724" s="3" t="s">
        <v>10</v>
      </c>
      <c r="B2724" s="103">
        <v>506962</v>
      </c>
      <c r="C2724" s="57">
        <v>1184</v>
      </c>
      <c r="D2724" s="61">
        <v>2.3E-3</v>
      </c>
      <c r="E2724" s="61"/>
      <c r="F2724" s="122">
        <v>2.0999999999999999E-3</v>
      </c>
      <c r="G2724" s="62">
        <v>505778</v>
      </c>
      <c r="H2724" s="64">
        <v>0.99770000000000003</v>
      </c>
      <c r="I2724" s="64"/>
      <c r="J2724" s="123">
        <v>0.99790000000000001</v>
      </c>
    </row>
    <row r="2725" spans="1:10">
      <c r="A2725" s="3" t="s">
        <v>11</v>
      </c>
      <c r="B2725" s="103">
        <v>48122</v>
      </c>
      <c r="C2725" s="57">
        <v>841</v>
      </c>
      <c r="D2725" s="61">
        <v>1.7500000000000002E-2</v>
      </c>
      <c r="E2725" s="61"/>
      <c r="F2725" s="122">
        <v>2.3099999999999999E-2</v>
      </c>
      <c r="G2725" s="62">
        <v>47281</v>
      </c>
      <c r="H2725" s="64">
        <v>0.98250000000000004</v>
      </c>
      <c r="I2725" s="64"/>
      <c r="J2725" s="123">
        <v>0.97689999999999999</v>
      </c>
    </row>
    <row r="2726" spans="1:10">
      <c r="A2726" s="3" t="s">
        <v>12</v>
      </c>
      <c r="B2726" s="103">
        <v>10874</v>
      </c>
      <c r="C2726" s="62">
        <v>2528</v>
      </c>
      <c r="D2726" s="61">
        <v>0.23250000000000001</v>
      </c>
      <c r="E2726" s="61"/>
      <c r="F2726" s="122">
        <v>0.34920000000000001</v>
      </c>
      <c r="G2726" s="62">
        <v>8346</v>
      </c>
      <c r="H2726" s="64">
        <v>0.76749999999999996</v>
      </c>
      <c r="I2726" s="64"/>
      <c r="J2726" s="123">
        <v>0.65080000000000005</v>
      </c>
    </row>
    <row r="2727" spans="1:10">
      <c r="A2727" s="3" t="s">
        <v>13</v>
      </c>
      <c r="B2727" s="103">
        <v>429</v>
      </c>
      <c r="C2727" s="57">
        <v>250</v>
      </c>
      <c r="D2727" s="61">
        <v>0.58279999999999998</v>
      </c>
      <c r="E2727" s="61"/>
      <c r="F2727" s="122">
        <v>0.85960000000000003</v>
      </c>
      <c r="G2727" s="57">
        <v>179</v>
      </c>
      <c r="H2727" s="64">
        <v>0.41720000000000002</v>
      </c>
      <c r="I2727" s="64"/>
      <c r="J2727" s="123">
        <v>0.1404</v>
      </c>
    </row>
    <row r="2728" spans="1:10" ht="15.75" thickBot="1">
      <c r="A2728" s="3" t="s">
        <v>181</v>
      </c>
      <c r="B2728" s="103">
        <v>432</v>
      </c>
      <c r="C2728" s="105">
        <v>8</v>
      </c>
      <c r="D2728" s="106">
        <v>1.8499999999999999E-2</v>
      </c>
      <c r="E2728" s="106"/>
      <c r="F2728" s="124">
        <v>0.2253</v>
      </c>
      <c r="G2728" s="50">
        <v>424</v>
      </c>
      <c r="H2728" s="68">
        <v>0.98150000000000004</v>
      </c>
      <c r="I2728" s="64"/>
      <c r="J2728" s="125">
        <v>0.77470000000000006</v>
      </c>
    </row>
    <row r="2729" spans="1:10" ht="17.25" thickTop="1" thickBot="1">
      <c r="A2729" s="34" t="s">
        <v>175</v>
      </c>
      <c r="B2729" s="84">
        <f>SUM(B2724:B2728)</f>
        <v>566819</v>
      </c>
      <c r="C2729" s="74">
        <f>SUM(C2724:C2728)</f>
        <v>4811</v>
      </c>
      <c r="D2729" s="107">
        <v>8.5000000000000006E-3</v>
      </c>
      <c r="E2729" s="107"/>
      <c r="F2729" s="73">
        <v>0.35489999999999999</v>
      </c>
      <c r="G2729" s="74">
        <f>SUM(G2724:G2728)</f>
        <v>562008</v>
      </c>
      <c r="H2729" s="75">
        <v>0.99150000000000005</v>
      </c>
      <c r="I2729" s="75"/>
      <c r="J2729" s="76">
        <v>0.64510000000000001</v>
      </c>
    </row>
    <row r="2732" spans="1:10" ht="16.5" thickBot="1">
      <c r="A2732" s="22"/>
      <c r="B2732" s="111" t="s">
        <v>249</v>
      </c>
      <c r="C2732" s="22"/>
      <c r="D2732" s="22"/>
      <c r="E2732" s="22"/>
      <c r="F2732" s="22"/>
      <c r="G2732" s="22"/>
      <c r="H2732" s="22"/>
      <c r="I2732" s="22"/>
      <c r="J2732" s="112"/>
    </row>
    <row r="2733" spans="1:10" ht="17.25" thickTop="1" thickBot="1">
      <c r="A2733" s="1" t="s">
        <v>285</v>
      </c>
      <c r="B2733" s="97"/>
      <c r="C2733" s="113" t="s">
        <v>179</v>
      </c>
      <c r="D2733" s="114"/>
      <c r="E2733" s="114"/>
      <c r="F2733" s="115"/>
      <c r="G2733" s="114" t="s">
        <v>180</v>
      </c>
      <c r="H2733" s="114"/>
      <c r="I2733" s="114"/>
      <c r="J2733" s="115"/>
    </row>
    <row r="2734" spans="1:10" ht="15.75" thickTop="1">
      <c r="B2734" s="42" t="s">
        <v>4</v>
      </c>
      <c r="C2734" s="43" t="s">
        <v>5</v>
      </c>
      <c r="D2734" s="44"/>
      <c r="E2734" s="44"/>
      <c r="F2734" s="116" t="s">
        <v>6</v>
      </c>
      <c r="G2734" s="43" t="s">
        <v>7</v>
      </c>
      <c r="H2734" s="46"/>
      <c r="I2734" s="46"/>
      <c r="J2734" s="117" t="s">
        <v>6</v>
      </c>
    </row>
    <row r="2735" spans="1:10" ht="15.75" thickBot="1">
      <c r="B2735" s="49" t="s">
        <v>8</v>
      </c>
      <c r="C2735" s="50" t="s">
        <v>8</v>
      </c>
      <c r="D2735" s="51" t="s">
        <v>9</v>
      </c>
      <c r="E2735" s="51"/>
      <c r="F2735" s="118" t="s">
        <v>9</v>
      </c>
      <c r="G2735" s="53" t="s">
        <v>8</v>
      </c>
      <c r="H2735" s="54" t="s">
        <v>9</v>
      </c>
      <c r="I2735" s="54"/>
      <c r="J2735" s="119" t="s">
        <v>9</v>
      </c>
    </row>
    <row r="2736" spans="1:10" ht="15.75" thickTop="1">
      <c r="C2736" s="43"/>
      <c r="F2736" s="120"/>
      <c r="G2736" s="57"/>
      <c r="J2736" s="121"/>
    </row>
    <row r="2737" spans="1:10">
      <c r="A2737" s="3" t="s">
        <v>10</v>
      </c>
      <c r="B2737" s="103">
        <v>506349</v>
      </c>
      <c r="C2737" s="57">
        <v>1142</v>
      </c>
      <c r="D2737" s="61">
        <v>2.3E-3</v>
      </c>
      <c r="E2737" s="61"/>
      <c r="F2737" s="122">
        <v>2.0999999999999999E-3</v>
      </c>
      <c r="G2737" s="62">
        <v>505207</v>
      </c>
      <c r="H2737" s="64">
        <v>0.99770000000000003</v>
      </c>
      <c r="I2737" s="64"/>
      <c r="J2737" s="123">
        <v>0.99790000000000001</v>
      </c>
    </row>
    <row r="2738" spans="1:10">
      <c r="A2738" s="3" t="s">
        <v>11</v>
      </c>
      <c r="B2738" s="103">
        <v>48175</v>
      </c>
      <c r="C2738" s="57">
        <v>830</v>
      </c>
      <c r="D2738" s="61">
        <v>1.72E-2</v>
      </c>
      <c r="E2738" s="61"/>
      <c r="F2738" s="122">
        <v>2.3099999999999999E-2</v>
      </c>
      <c r="G2738" s="62">
        <v>47345</v>
      </c>
      <c r="H2738" s="64">
        <v>0.98280000000000001</v>
      </c>
      <c r="I2738" s="64"/>
      <c r="J2738" s="123">
        <v>0.97689999999999999</v>
      </c>
    </row>
    <row r="2739" spans="1:10">
      <c r="A2739" s="3" t="s">
        <v>12</v>
      </c>
      <c r="B2739" s="103">
        <v>10816</v>
      </c>
      <c r="C2739" s="62">
        <v>2546</v>
      </c>
      <c r="D2739" s="61">
        <v>0.2354</v>
      </c>
      <c r="E2739" s="61"/>
      <c r="F2739" s="122">
        <v>0.34820000000000001</v>
      </c>
      <c r="G2739" s="62">
        <v>8270</v>
      </c>
      <c r="H2739" s="64">
        <v>0.76459999999999995</v>
      </c>
      <c r="I2739" s="64"/>
      <c r="J2739" s="123">
        <v>0.65180000000000005</v>
      </c>
    </row>
    <row r="2740" spans="1:10">
      <c r="A2740" s="3" t="s">
        <v>13</v>
      </c>
      <c r="B2740" s="103">
        <v>431</v>
      </c>
      <c r="C2740" s="57">
        <v>251</v>
      </c>
      <c r="D2740" s="61">
        <v>0.58240000000000003</v>
      </c>
      <c r="E2740" s="61"/>
      <c r="F2740" s="122">
        <v>0.8619</v>
      </c>
      <c r="G2740" s="57">
        <v>180</v>
      </c>
      <c r="H2740" s="64">
        <v>0.41760000000000003</v>
      </c>
      <c r="I2740" s="64"/>
      <c r="J2740" s="123">
        <v>0.1381</v>
      </c>
    </row>
    <row r="2741" spans="1:10" ht="15.75" thickBot="1">
      <c r="A2741" s="3" t="s">
        <v>181</v>
      </c>
      <c r="B2741" s="103">
        <v>432</v>
      </c>
      <c r="C2741" s="105">
        <v>8</v>
      </c>
      <c r="D2741" s="106">
        <v>1.8499999999999999E-2</v>
      </c>
      <c r="E2741" s="106"/>
      <c r="F2741" s="124">
        <v>0.22850000000000001</v>
      </c>
      <c r="G2741" s="50">
        <v>424</v>
      </c>
      <c r="H2741" s="68">
        <v>0.98150000000000004</v>
      </c>
      <c r="I2741" s="64"/>
      <c r="J2741" s="125">
        <v>0.77149999999999996</v>
      </c>
    </row>
    <row r="2742" spans="1:10" ht="17.25" thickTop="1" thickBot="1">
      <c r="A2742" s="34" t="s">
        <v>175</v>
      </c>
      <c r="B2742" s="84">
        <f>SUM(B2737:B2741)</f>
        <v>566203</v>
      </c>
      <c r="C2742" s="74">
        <f>SUM(C2737:C2741)</f>
        <v>4777</v>
      </c>
      <c r="D2742" s="107">
        <v>8.3999999999999995E-3</v>
      </c>
      <c r="E2742" s="107"/>
      <c r="F2742" s="73">
        <v>0.34610000000000002</v>
      </c>
      <c r="G2742" s="74">
        <f>SUM(G2737:G2741)</f>
        <v>561426</v>
      </c>
      <c r="H2742" s="75">
        <v>0.99160000000000004</v>
      </c>
      <c r="I2742" s="75"/>
      <c r="J2742" s="76">
        <v>0.65390000000000004</v>
      </c>
    </row>
    <row r="2745" spans="1:10" ht="16.5" thickBot="1">
      <c r="A2745" s="22"/>
      <c r="B2745" s="111" t="s">
        <v>249</v>
      </c>
      <c r="C2745" s="22"/>
      <c r="D2745" s="22"/>
      <c r="E2745" s="22"/>
      <c r="F2745" s="22"/>
      <c r="G2745" s="22"/>
      <c r="H2745" s="22"/>
      <c r="I2745" s="22"/>
      <c r="J2745" s="112"/>
    </row>
    <row r="2746" spans="1:10" ht="17.25" thickTop="1" thickBot="1">
      <c r="A2746" s="1" t="s">
        <v>286</v>
      </c>
      <c r="B2746" s="97"/>
      <c r="C2746" s="113" t="s">
        <v>179</v>
      </c>
      <c r="D2746" s="114"/>
      <c r="E2746" s="114"/>
      <c r="F2746" s="115"/>
      <c r="G2746" s="114" t="s">
        <v>180</v>
      </c>
      <c r="H2746" s="114"/>
      <c r="I2746" s="114"/>
      <c r="J2746" s="115"/>
    </row>
    <row r="2747" spans="1:10" ht="15.75" thickTop="1">
      <c r="B2747" s="42" t="s">
        <v>4</v>
      </c>
      <c r="C2747" s="43" t="s">
        <v>5</v>
      </c>
      <c r="D2747" s="44"/>
      <c r="E2747" s="44"/>
      <c r="F2747" s="116" t="s">
        <v>6</v>
      </c>
      <c r="G2747" s="43" t="s">
        <v>7</v>
      </c>
      <c r="H2747" s="46"/>
      <c r="I2747" s="46"/>
      <c r="J2747" s="117" t="s">
        <v>6</v>
      </c>
    </row>
    <row r="2748" spans="1:10" ht="15.75" thickBot="1">
      <c r="B2748" s="49" t="s">
        <v>8</v>
      </c>
      <c r="C2748" s="50" t="s">
        <v>8</v>
      </c>
      <c r="D2748" s="51" t="s">
        <v>9</v>
      </c>
      <c r="E2748" s="51"/>
      <c r="F2748" s="118" t="s">
        <v>9</v>
      </c>
      <c r="G2748" s="53" t="s">
        <v>8</v>
      </c>
      <c r="H2748" s="54" t="s">
        <v>9</v>
      </c>
      <c r="I2748" s="54"/>
      <c r="J2748" s="119" t="s">
        <v>9</v>
      </c>
    </row>
    <row r="2749" spans="1:10" ht="15.75" thickTop="1">
      <c r="C2749" s="43"/>
      <c r="F2749" s="120"/>
      <c r="G2749" s="57"/>
      <c r="J2749" s="121"/>
    </row>
    <row r="2750" spans="1:10">
      <c r="A2750" s="3" t="s">
        <v>10</v>
      </c>
      <c r="B2750" s="103">
        <v>505597</v>
      </c>
      <c r="C2750" s="57">
        <v>1100</v>
      </c>
      <c r="D2750" s="61">
        <v>2.2000000000000001E-3</v>
      </c>
      <c r="E2750" s="61"/>
      <c r="F2750" s="122">
        <v>2E-3</v>
      </c>
      <c r="G2750" s="62">
        <v>504497</v>
      </c>
      <c r="H2750" s="64">
        <v>0.99780000000000002</v>
      </c>
      <c r="I2750" s="64"/>
      <c r="J2750" s="123">
        <v>0.998</v>
      </c>
    </row>
    <row r="2751" spans="1:10">
      <c r="A2751" s="3" t="s">
        <v>11</v>
      </c>
      <c r="B2751" s="103">
        <v>48150</v>
      </c>
      <c r="C2751" s="57">
        <v>834</v>
      </c>
      <c r="D2751" s="61">
        <v>1.7299999999999999E-2</v>
      </c>
      <c r="E2751" s="61"/>
      <c r="F2751" s="122">
        <v>2.0899999999999998E-2</v>
      </c>
      <c r="G2751" s="62">
        <v>47316</v>
      </c>
      <c r="H2751" s="64">
        <v>0.98270000000000002</v>
      </c>
      <c r="I2751" s="64"/>
      <c r="J2751" s="123">
        <v>0.97909999999999997</v>
      </c>
    </row>
    <row r="2752" spans="1:10">
      <c r="A2752" s="3" t="s">
        <v>12</v>
      </c>
      <c r="B2752" s="103">
        <v>10799</v>
      </c>
      <c r="C2752" s="62">
        <v>2641</v>
      </c>
      <c r="D2752" s="61">
        <v>0.24460000000000001</v>
      </c>
      <c r="E2752" s="61"/>
      <c r="F2752" s="122">
        <v>0.35499999999999998</v>
      </c>
      <c r="G2752" s="62">
        <v>8158</v>
      </c>
      <c r="H2752" s="64">
        <v>0.75539999999999996</v>
      </c>
      <c r="I2752" s="64"/>
      <c r="J2752" s="123">
        <v>0.64500000000000002</v>
      </c>
    </row>
    <row r="2753" spans="1:10">
      <c r="A2753" s="3" t="s">
        <v>13</v>
      </c>
      <c r="B2753" s="103">
        <v>434</v>
      </c>
      <c r="C2753" s="57">
        <v>253</v>
      </c>
      <c r="D2753" s="61">
        <v>0.58289999999999997</v>
      </c>
      <c r="E2753" s="61"/>
      <c r="F2753" s="122">
        <v>0.87519999999999998</v>
      </c>
      <c r="G2753" s="57">
        <v>181</v>
      </c>
      <c r="H2753" s="64">
        <v>0.41710000000000003</v>
      </c>
      <c r="I2753" s="64"/>
      <c r="J2753" s="123">
        <v>0.12479999999999999</v>
      </c>
    </row>
    <row r="2754" spans="1:10" ht="15.75" thickBot="1">
      <c r="A2754" s="3" t="s">
        <v>181</v>
      </c>
      <c r="B2754" s="103">
        <v>434</v>
      </c>
      <c r="C2754" s="105">
        <v>7</v>
      </c>
      <c r="D2754" s="106">
        <v>1.61E-2</v>
      </c>
      <c r="E2754" s="106"/>
      <c r="F2754" s="124">
        <v>0.23649999999999999</v>
      </c>
      <c r="G2754" s="50">
        <v>427</v>
      </c>
      <c r="H2754" s="68">
        <v>0.9839</v>
      </c>
      <c r="I2754" s="64"/>
      <c r="J2754" s="125">
        <v>0.76349999999999996</v>
      </c>
    </row>
    <row r="2755" spans="1:10" ht="17.25" thickTop="1" thickBot="1">
      <c r="A2755" s="34" t="s">
        <v>175</v>
      </c>
      <c r="B2755" s="84">
        <f>SUM(B2750:B2754)</f>
        <v>565414</v>
      </c>
      <c r="C2755" s="74">
        <f>SUM(C2750:C2754)</f>
        <v>4835</v>
      </c>
      <c r="D2755" s="107">
        <v>8.6E-3</v>
      </c>
      <c r="E2755" s="107"/>
      <c r="F2755" s="73">
        <v>0.35899999999999999</v>
      </c>
      <c r="G2755" s="74">
        <f>SUM(G2750:G2754)</f>
        <v>560579</v>
      </c>
      <c r="H2755" s="75">
        <v>0.99139999999999995</v>
      </c>
      <c r="I2755" s="75"/>
      <c r="J2755" s="76">
        <v>0.64100000000000001</v>
      </c>
    </row>
    <row r="2757" spans="1:10" ht="16.5" thickBot="1">
      <c r="A2757" s="22"/>
      <c r="B2757" s="111" t="s">
        <v>249</v>
      </c>
      <c r="C2757" s="22"/>
      <c r="D2757" s="22"/>
      <c r="E2757" s="22"/>
      <c r="F2757" s="22"/>
      <c r="G2757" s="22"/>
      <c r="H2757" s="22"/>
      <c r="I2757" s="22"/>
      <c r="J2757" s="112"/>
    </row>
    <row r="2758" spans="1:10" ht="17.25" thickTop="1" thickBot="1">
      <c r="A2758" s="1" t="s">
        <v>287</v>
      </c>
      <c r="B2758" s="97"/>
      <c r="C2758" s="113" t="s">
        <v>179</v>
      </c>
      <c r="D2758" s="114"/>
      <c r="E2758" s="114"/>
      <c r="F2758" s="115"/>
      <c r="G2758" s="114" t="s">
        <v>180</v>
      </c>
      <c r="H2758" s="114"/>
      <c r="I2758" s="114"/>
      <c r="J2758" s="115"/>
    </row>
    <row r="2759" spans="1:10" ht="15.75" thickTop="1">
      <c r="B2759" s="42" t="s">
        <v>4</v>
      </c>
      <c r="C2759" s="43" t="s">
        <v>5</v>
      </c>
      <c r="D2759" s="44"/>
      <c r="E2759" s="44"/>
      <c r="F2759" s="116" t="s">
        <v>6</v>
      </c>
      <c r="G2759" s="43" t="s">
        <v>7</v>
      </c>
      <c r="H2759" s="46"/>
      <c r="I2759" s="46"/>
      <c r="J2759" s="117" t="s">
        <v>6</v>
      </c>
    </row>
    <row r="2760" spans="1:10" ht="15.75" thickBot="1">
      <c r="B2760" s="49" t="s">
        <v>8</v>
      </c>
      <c r="C2760" s="50" t="s">
        <v>8</v>
      </c>
      <c r="D2760" s="51" t="s">
        <v>9</v>
      </c>
      <c r="E2760" s="51"/>
      <c r="F2760" s="118" t="s">
        <v>9</v>
      </c>
      <c r="G2760" s="53" t="s">
        <v>8</v>
      </c>
      <c r="H2760" s="54" t="s">
        <v>9</v>
      </c>
      <c r="I2760" s="54"/>
      <c r="J2760" s="119" t="s">
        <v>9</v>
      </c>
    </row>
    <row r="2761" spans="1:10" ht="15.75" thickTop="1">
      <c r="C2761" s="43"/>
      <c r="F2761" s="120"/>
      <c r="G2761" s="57"/>
      <c r="J2761" s="121"/>
    </row>
    <row r="2762" spans="1:10">
      <c r="A2762" s="3" t="s">
        <v>10</v>
      </c>
      <c r="B2762" s="103">
        <v>504333</v>
      </c>
      <c r="C2762" s="57">
        <v>1051</v>
      </c>
      <c r="D2762" s="61">
        <v>2.0999999999999999E-3</v>
      </c>
      <c r="E2762" s="61"/>
      <c r="F2762" s="122">
        <v>1.9E-3</v>
      </c>
      <c r="G2762" s="62">
        <v>503282</v>
      </c>
      <c r="H2762" s="64">
        <v>0.99790000000000001</v>
      </c>
      <c r="I2762" s="64"/>
      <c r="J2762" s="123">
        <v>0.99809999999999999</v>
      </c>
    </row>
    <row r="2763" spans="1:10">
      <c r="A2763" s="3" t="s">
        <v>11</v>
      </c>
      <c r="B2763" s="103">
        <v>48076</v>
      </c>
      <c r="C2763" s="57">
        <v>838</v>
      </c>
      <c r="D2763" s="61">
        <v>1.7399999999999999E-2</v>
      </c>
      <c r="E2763" s="61"/>
      <c r="F2763" s="122">
        <v>2.0299999999999999E-2</v>
      </c>
      <c r="G2763" s="62">
        <v>47238</v>
      </c>
      <c r="H2763" s="64">
        <v>0.98260000000000003</v>
      </c>
      <c r="I2763" s="64"/>
      <c r="J2763" s="123">
        <v>0.97970000000000002</v>
      </c>
    </row>
    <row r="2764" spans="1:10">
      <c r="A2764" s="3" t="s">
        <v>12</v>
      </c>
      <c r="B2764" s="103">
        <v>10815</v>
      </c>
      <c r="C2764" s="62">
        <v>2433</v>
      </c>
      <c r="D2764" s="61">
        <v>0.22500000000000001</v>
      </c>
      <c r="E2764" s="61"/>
      <c r="F2764" s="122">
        <v>0.32790000000000002</v>
      </c>
      <c r="G2764" s="62">
        <v>8382</v>
      </c>
      <c r="H2764" s="64">
        <v>0.77500000000000002</v>
      </c>
      <c r="I2764" s="64"/>
      <c r="J2764" s="123">
        <v>0.67210000000000003</v>
      </c>
    </row>
    <row r="2765" spans="1:10">
      <c r="A2765" s="3" t="s">
        <v>13</v>
      </c>
      <c r="B2765" s="103">
        <v>431</v>
      </c>
      <c r="C2765" s="57">
        <v>246</v>
      </c>
      <c r="D2765" s="61">
        <v>0.57079999999999997</v>
      </c>
      <c r="E2765" s="61"/>
      <c r="F2765" s="122">
        <v>0.86050000000000004</v>
      </c>
      <c r="G2765" s="57">
        <v>185</v>
      </c>
      <c r="H2765" s="64">
        <v>0.42920000000000003</v>
      </c>
      <c r="I2765" s="64"/>
      <c r="J2765" s="123">
        <v>0.13950000000000001</v>
      </c>
    </row>
    <row r="2766" spans="1:10" ht="15.75" thickBot="1">
      <c r="A2766" s="3" t="s">
        <v>181</v>
      </c>
      <c r="B2766" s="103">
        <v>430</v>
      </c>
      <c r="C2766" s="105">
        <v>6</v>
      </c>
      <c r="D2766" s="106">
        <v>1.4E-2</v>
      </c>
      <c r="E2766" s="106"/>
      <c r="F2766" s="124">
        <v>0.22789999999999999</v>
      </c>
      <c r="G2766" s="50">
        <v>424</v>
      </c>
      <c r="H2766" s="68">
        <v>0.98599999999999999</v>
      </c>
      <c r="I2766" s="64"/>
      <c r="J2766" s="125">
        <v>0.77210000000000001</v>
      </c>
    </row>
    <row r="2767" spans="1:10" ht="17.25" thickTop="1" thickBot="1">
      <c r="A2767" s="34" t="s">
        <v>175</v>
      </c>
      <c r="B2767" s="84">
        <f>SUM(B2762:B2766)</f>
        <v>564085</v>
      </c>
      <c r="C2767" s="74">
        <f>SUM(C2762:C2766)</f>
        <v>4574</v>
      </c>
      <c r="D2767" s="107">
        <v>8.0999999999999996E-3</v>
      </c>
      <c r="E2767" s="107"/>
      <c r="F2767" s="73">
        <v>0.3377</v>
      </c>
      <c r="G2767" s="74">
        <f>SUM(G2762:G2766)</f>
        <v>559511</v>
      </c>
      <c r="H2767" s="75">
        <v>0.9919</v>
      </c>
      <c r="I2767" s="75"/>
      <c r="J2767" s="76">
        <v>0.6623</v>
      </c>
    </row>
    <row r="2768" spans="1:10" ht="16.5" thickBot="1">
      <c r="A2768" s="22"/>
      <c r="B2768" s="111" t="s">
        <v>249</v>
      </c>
      <c r="C2768" s="22"/>
      <c r="D2768" s="22"/>
      <c r="E2768" s="22"/>
      <c r="F2768" s="22"/>
      <c r="G2768" s="22"/>
      <c r="H2768" s="22"/>
      <c r="I2768" s="22"/>
      <c r="J2768" s="112"/>
    </row>
    <row r="2769" spans="1:10" ht="17.25" thickTop="1" thickBot="1">
      <c r="A2769" s="1" t="s">
        <v>125</v>
      </c>
      <c r="B2769" s="97"/>
      <c r="C2769" s="113" t="s">
        <v>179</v>
      </c>
      <c r="D2769" s="114"/>
      <c r="E2769" s="114"/>
      <c r="F2769" s="115"/>
      <c r="G2769" s="114" t="s">
        <v>180</v>
      </c>
      <c r="H2769" s="114"/>
      <c r="I2769" s="114"/>
      <c r="J2769" s="115"/>
    </row>
    <row r="2770" spans="1:10" ht="15.75" thickTop="1">
      <c r="B2770" s="42" t="s">
        <v>4</v>
      </c>
      <c r="C2770" s="43" t="s">
        <v>5</v>
      </c>
      <c r="D2770" s="44"/>
      <c r="E2770" s="44"/>
      <c r="F2770" s="116" t="s">
        <v>6</v>
      </c>
      <c r="G2770" s="43" t="s">
        <v>7</v>
      </c>
      <c r="H2770" s="46"/>
      <c r="I2770" s="46"/>
      <c r="J2770" s="117" t="s">
        <v>6</v>
      </c>
    </row>
    <row r="2771" spans="1:10" ht="15.75" thickBot="1">
      <c r="B2771" s="49" t="s">
        <v>8</v>
      </c>
      <c r="C2771" s="50" t="s">
        <v>8</v>
      </c>
      <c r="D2771" s="51" t="s">
        <v>9</v>
      </c>
      <c r="E2771" s="51"/>
      <c r="F2771" s="118" t="s">
        <v>9</v>
      </c>
      <c r="G2771" s="53" t="s">
        <v>8</v>
      </c>
      <c r="H2771" s="54" t="s">
        <v>9</v>
      </c>
      <c r="I2771" s="54"/>
      <c r="J2771" s="119" t="s">
        <v>9</v>
      </c>
    </row>
    <row r="2772" spans="1:10" ht="15.75" thickTop="1">
      <c r="C2772" s="43"/>
      <c r="F2772" s="120"/>
      <c r="G2772" s="57"/>
      <c r="J2772" s="121"/>
    </row>
    <row r="2773" spans="1:10">
      <c r="A2773" s="3" t="s">
        <v>10</v>
      </c>
      <c r="B2773" s="103">
        <v>503472</v>
      </c>
      <c r="C2773" s="57">
        <v>1010</v>
      </c>
      <c r="D2773" s="61">
        <v>2E-3</v>
      </c>
      <c r="E2773" s="61"/>
      <c r="F2773" s="122">
        <v>1.8E-3</v>
      </c>
      <c r="G2773" s="62">
        <v>502462</v>
      </c>
      <c r="H2773" s="64">
        <v>0.998</v>
      </c>
      <c r="I2773" s="64"/>
      <c r="J2773" s="123">
        <v>0.99819999999999998</v>
      </c>
    </row>
    <row r="2774" spans="1:10">
      <c r="A2774" s="3" t="s">
        <v>11</v>
      </c>
      <c r="B2774" s="103">
        <v>48057</v>
      </c>
      <c r="C2774" s="57">
        <v>845</v>
      </c>
      <c r="D2774" s="61">
        <v>1.7600000000000001E-2</v>
      </c>
      <c r="E2774" s="61"/>
      <c r="F2774" s="122">
        <v>1.8700000000000001E-2</v>
      </c>
      <c r="G2774" s="62">
        <v>47212</v>
      </c>
      <c r="H2774" s="64">
        <v>0.98240000000000005</v>
      </c>
      <c r="I2774" s="64"/>
      <c r="J2774" s="123">
        <v>0.98129999999999995</v>
      </c>
    </row>
    <row r="2775" spans="1:10">
      <c r="A2775" s="3" t="s">
        <v>12</v>
      </c>
      <c r="B2775" s="103">
        <v>10819</v>
      </c>
      <c r="C2775" s="62">
        <v>2400</v>
      </c>
      <c r="D2775" s="61">
        <v>0.2218</v>
      </c>
      <c r="E2775" s="61"/>
      <c r="F2775" s="122">
        <v>0.31790000000000002</v>
      </c>
      <c r="G2775" s="62">
        <v>8419</v>
      </c>
      <c r="H2775" s="64">
        <v>0.7782</v>
      </c>
      <c r="I2775" s="64"/>
      <c r="J2775" s="123">
        <v>0.68210000000000004</v>
      </c>
    </row>
    <row r="2776" spans="1:10">
      <c r="A2776" s="3" t="s">
        <v>13</v>
      </c>
      <c r="B2776" s="103">
        <v>433</v>
      </c>
      <c r="C2776" s="57">
        <v>241</v>
      </c>
      <c r="D2776" s="61">
        <v>0.55659999999999998</v>
      </c>
      <c r="E2776" s="61"/>
      <c r="F2776" s="122">
        <v>0.86699999999999999</v>
      </c>
      <c r="G2776" s="57">
        <v>192</v>
      </c>
      <c r="H2776" s="64">
        <v>0.44340000000000002</v>
      </c>
      <c r="I2776" s="64"/>
      <c r="J2776" s="123">
        <v>0.13300000000000001</v>
      </c>
    </row>
    <row r="2777" spans="1:10" ht="15.75" thickBot="1">
      <c r="A2777" s="3" t="s">
        <v>181</v>
      </c>
      <c r="B2777" s="103">
        <v>430</v>
      </c>
      <c r="C2777" s="105">
        <v>6</v>
      </c>
      <c r="D2777" s="106">
        <v>1.4E-2</v>
      </c>
      <c r="E2777" s="106"/>
      <c r="F2777" s="124">
        <v>0.23039999999999999</v>
      </c>
      <c r="G2777" s="50">
        <v>424</v>
      </c>
      <c r="H2777" s="68">
        <v>0.98599999999999999</v>
      </c>
      <c r="I2777" s="64"/>
      <c r="J2777" s="125">
        <v>0.76959999999999995</v>
      </c>
    </row>
    <row r="2778" spans="1:10" ht="17.25" thickTop="1" thickBot="1">
      <c r="A2778" s="34" t="s">
        <v>175</v>
      </c>
      <c r="B2778" s="84">
        <f>SUM(B2773:B2777)</f>
        <v>563211</v>
      </c>
      <c r="C2778" s="74">
        <f>SUM(C2773:C2777)</f>
        <v>4502</v>
      </c>
      <c r="D2778" s="107">
        <v>8.0000000000000002E-3</v>
      </c>
      <c r="E2778" s="107"/>
      <c r="F2778" s="73">
        <v>0.40760000000000002</v>
      </c>
      <c r="G2778" s="74">
        <f>SUM(G2773:G2777)</f>
        <v>558709</v>
      </c>
      <c r="H2778" s="75">
        <v>0.99199999999999999</v>
      </c>
      <c r="I2778" s="75"/>
      <c r="J2778" s="76">
        <v>0.59240000000000004</v>
      </c>
    </row>
    <row r="2779" spans="1:10" ht="16.5" thickBot="1">
      <c r="A2779" s="22"/>
      <c r="B2779" s="111" t="s">
        <v>249</v>
      </c>
      <c r="C2779" s="22"/>
      <c r="D2779" s="22"/>
      <c r="E2779" s="22"/>
      <c r="F2779" s="22"/>
      <c r="G2779" s="22"/>
      <c r="H2779" s="22"/>
      <c r="I2779" s="22"/>
      <c r="J2779" s="112"/>
    </row>
    <row r="2780" spans="1:10" ht="17.25" thickTop="1" thickBot="1">
      <c r="A2780" s="1" t="s">
        <v>288</v>
      </c>
      <c r="B2780" s="97"/>
      <c r="C2780" s="113" t="s">
        <v>179</v>
      </c>
      <c r="D2780" s="114"/>
      <c r="E2780" s="114"/>
      <c r="F2780" s="115"/>
      <c r="G2780" s="114" t="s">
        <v>180</v>
      </c>
      <c r="H2780" s="114"/>
      <c r="I2780" s="114"/>
      <c r="J2780" s="115"/>
    </row>
    <row r="2781" spans="1:10" ht="15.75" thickTop="1">
      <c r="B2781" s="42" t="s">
        <v>4</v>
      </c>
      <c r="C2781" s="43" t="s">
        <v>5</v>
      </c>
      <c r="D2781" s="44"/>
      <c r="E2781" s="44"/>
      <c r="F2781" s="116" t="s">
        <v>6</v>
      </c>
      <c r="G2781" s="43" t="s">
        <v>7</v>
      </c>
      <c r="H2781" s="46"/>
      <c r="I2781" s="46"/>
      <c r="J2781" s="117" t="s">
        <v>6</v>
      </c>
    </row>
    <row r="2782" spans="1:10" ht="15.75" thickBot="1">
      <c r="B2782" s="49" t="s">
        <v>8</v>
      </c>
      <c r="C2782" s="50" t="s">
        <v>8</v>
      </c>
      <c r="D2782" s="51" t="s">
        <v>9</v>
      </c>
      <c r="E2782" s="51"/>
      <c r="F2782" s="118" t="s">
        <v>9</v>
      </c>
      <c r="G2782" s="53" t="s">
        <v>8</v>
      </c>
      <c r="H2782" s="54" t="s">
        <v>9</v>
      </c>
      <c r="I2782" s="54"/>
      <c r="J2782" s="119" t="s">
        <v>9</v>
      </c>
    </row>
    <row r="2783" spans="1:10" ht="15.75" thickTop="1">
      <c r="C2783" s="43"/>
      <c r="F2783" s="120"/>
      <c r="G2783" s="57"/>
      <c r="J2783" s="121"/>
    </row>
    <row r="2784" spans="1:10">
      <c r="A2784" s="3" t="s">
        <v>10</v>
      </c>
      <c r="B2784" s="103">
        <v>502474</v>
      </c>
      <c r="C2784" s="57">
        <v>966</v>
      </c>
      <c r="D2784" s="61">
        <v>1.9E-3</v>
      </c>
      <c r="E2784" s="61"/>
      <c r="F2784" s="122">
        <v>1.6000000000000001E-3</v>
      </c>
      <c r="G2784" s="62">
        <v>501508</v>
      </c>
      <c r="H2784" s="64">
        <v>0.99809999999999999</v>
      </c>
      <c r="I2784" s="64"/>
      <c r="J2784" s="123">
        <v>0.99839999999999995</v>
      </c>
    </row>
    <row r="2785" spans="1:10">
      <c r="A2785" s="3" t="s">
        <v>11</v>
      </c>
      <c r="B2785" s="103">
        <v>47822</v>
      </c>
      <c r="C2785" s="57">
        <v>814</v>
      </c>
      <c r="D2785" s="61">
        <v>1.7000000000000001E-2</v>
      </c>
      <c r="E2785" s="61"/>
      <c r="F2785" s="122">
        <v>1.44E-2</v>
      </c>
      <c r="G2785" s="62">
        <v>47008</v>
      </c>
      <c r="H2785" s="64">
        <v>0.98299999999999998</v>
      </c>
      <c r="I2785" s="64"/>
      <c r="J2785" s="123">
        <v>0.98560000000000003</v>
      </c>
    </row>
    <row r="2786" spans="1:10">
      <c r="A2786" s="3" t="s">
        <v>12</v>
      </c>
      <c r="B2786" s="103">
        <v>10987</v>
      </c>
      <c r="C2786" s="62">
        <v>2290</v>
      </c>
      <c r="D2786" s="61">
        <v>0.2084</v>
      </c>
      <c r="E2786" s="61"/>
      <c r="F2786" s="122">
        <v>0.2888</v>
      </c>
      <c r="G2786" s="62">
        <v>8697</v>
      </c>
      <c r="H2786" s="64">
        <v>0.79159999999999997</v>
      </c>
      <c r="I2786" s="64"/>
      <c r="J2786" s="123">
        <v>0.71120000000000005</v>
      </c>
    </row>
    <row r="2787" spans="1:10">
      <c r="A2787" s="3" t="s">
        <v>13</v>
      </c>
      <c r="B2787" s="103">
        <v>435</v>
      </c>
      <c r="C2787" s="57">
        <v>232</v>
      </c>
      <c r="D2787" s="61">
        <v>0.5333</v>
      </c>
      <c r="E2787" s="61"/>
      <c r="F2787" s="122">
        <v>0.83640000000000003</v>
      </c>
      <c r="G2787" s="57">
        <v>203</v>
      </c>
      <c r="H2787" s="64">
        <v>0.4667</v>
      </c>
      <c r="I2787" s="64"/>
      <c r="J2787" s="123">
        <v>0.1636</v>
      </c>
    </row>
    <row r="2788" spans="1:10" ht="15.75" thickBot="1">
      <c r="A2788" s="3" t="s">
        <v>181</v>
      </c>
      <c r="B2788" s="103">
        <v>430</v>
      </c>
      <c r="C2788" s="105">
        <v>6</v>
      </c>
      <c r="D2788" s="106">
        <v>1.4E-2</v>
      </c>
      <c r="E2788" s="106"/>
      <c r="F2788" s="124">
        <v>0.214</v>
      </c>
      <c r="G2788" s="50">
        <v>424</v>
      </c>
      <c r="H2788" s="68">
        <v>0.98599999999999999</v>
      </c>
      <c r="I2788" s="64"/>
      <c r="J2788" s="125">
        <v>0.78600000000000003</v>
      </c>
    </row>
    <row r="2789" spans="1:10" ht="17.25" thickTop="1" thickBot="1">
      <c r="A2789" s="34" t="s">
        <v>175</v>
      </c>
      <c r="B2789" s="84">
        <f>SUM(B2784:B2788)</f>
        <v>562148</v>
      </c>
      <c r="C2789" s="74">
        <f>SUM(C2784:C2788)</f>
        <v>4308</v>
      </c>
      <c r="D2789" s="107">
        <v>7.7000000000000002E-3</v>
      </c>
      <c r="E2789" s="107"/>
      <c r="F2789" s="73">
        <v>0.37240000000000001</v>
      </c>
      <c r="G2789" s="74">
        <f>SUM(G2784:G2788)</f>
        <v>557840</v>
      </c>
      <c r="H2789" s="75">
        <v>0.99229999999999996</v>
      </c>
      <c r="I2789" s="75"/>
      <c r="J2789" s="76">
        <v>0.62760000000000005</v>
      </c>
    </row>
    <row r="2790" spans="1:10" ht="16.5" thickBot="1">
      <c r="A2790" s="22"/>
      <c r="B2790" s="111" t="s">
        <v>249</v>
      </c>
      <c r="C2790" s="22"/>
      <c r="D2790" s="22"/>
      <c r="E2790" s="22"/>
      <c r="F2790" s="22"/>
      <c r="G2790" s="22"/>
      <c r="H2790" s="22"/>
      <c r="I2790" s="22"/>
      <c r="J2790" s="112"/>
    </row>
    <row r="2791" spans="1:10" ht="17.25" thickTop="1" thickBot="1">
      <c r="A2791" s="1" t="s">
        <v>289</v>
      </c>
      <c r="B2791" s="97"/>
      <c r="C2791" s="113" t="s">
        <v>179</v>
      </c>
      <c r="D2791" s="114"/>
      <c r="E2791" s="114"/>
      <c r="F2791" s="115"/>
      <c r="G2791" s="114" t="s">
        <v>180</v>
      </c>
      <c r="H2791" s="114"/>
      <c r="I2791" s="114"/>
      <c r="J2791" s="115"/>
    </row>
    <row r="2792" spans="1:10" ht="15.75" thickTop="1">
      <c r="B2792" s="42" t="s">
        <v>4</v>
      </c>
      <c r="C2792" s="43" t="s">
        <v>5</v>
      </c>
      <c r="D2792" s="44"/>
      <c r="E2792" s="44"/>
      <c r="F2792" s="116" t="s">
        <v>6</v>
      </c>
      <c r="G2792" s="43" t="s">
        <v>7</v>
      </c>
      <c r="H2792" s="46"/>
      <c r="I2792" s="46"/>
      <c r="J2792" s="117" t="s">
        <v>6</v>
      </c>
    </row>
    <row r="2793" spans="1:10" ht="15.75" thickBot="1">
      <c r="B2793" s="49" t="s">
        <v>8</v>
      </c>
      <c r="C2793" s="50" t="s">
        <v>8</v>
      </c>
      <c r="D2793" s="51" t="s">
        <v>9</v>
      </c>
      <c r="E2793" s="51"/>
      <c r="F2793" s="118" t="s">
        <v>9</v>
      </c>
      <c r="G2793" s="53" t="s">
        <v>8</v>
      </c>
      <c r="H2793" s="54" t="s">
        <v>9</v>
      </c>
      <c r="I2793" s="54"/>
      <c r="J2793" s="119" t="s">
        <v>9</v>
      </c>
    </row>
    <row r="2794" spans="1:10" ht="15.75" thickTop="1">
      <c r="C2794" s="43"/>
      <c r="F2794" s="120"/>
      <c r="G2794" s="57"/>
      <c r="J2794" s="121"/>
    </row>
    <row r="2795" spans="1:10">
      <c r="A2795" s="3" t="s">
        <v>10</v>
      </c>
      <c r="B2795" s="103">
        <v>501825</v>
      </c>
      <c r="C2795" s="57">
        <v>934</v>
      </c>
      <c r="D2795" s="61">
        <v>1.9E-3</v>
      </c>
      <c r="E2795" s="61"/>
      <c r="F2795" s="122">
        <v>1.5E-3</v>
      </c>
      <c r="G2795" s="62">
        <v>500891</v>
      </c>
      <c r="H2795" s="64">
        <v>0.99809999999999999</v>
      </c>
      <c r="I2795" s="64"/>
      <c r="J2795" s="123">
        <v>0.99850000000000005</v>
      </c>
    </row>
    <row r="2796" spans="1:10">
      <c r="A2796" s="3" t="s">
        <v>11</v>
      </c>
      <c r="B2796" s="103">
        <v>47886</v>
      </c>
      <c r="C2796" s="57">
        <v>792</v>
      </c>
      <c r="D2796" s="61">
        <v>1.6500000000000001E-2</v>
      </c>
      <c r="E2796" s="61"/>
      <c r="F2796" s="122">
        <v>1.24E-2</v>
      </c>
      <c r="G2796" s="62">
        <v>47094</v>
      </c>
      <c r="H2796" s="64">
        <v>0.98350000000000004</v>
      </c>
      <c r="I2796" s="64"/>
      <c r="J2796" s="123">
        <v>0.98760000000000003</v>
      </c>
    </row>
    <row r="2797" spans="1:10">
      <c r="A2797" s="3" t="s">
        <v>12</v>
      </c>
      <c r="B2797" s="103">
        <v>10913</v>
      </c>
      <c r="C2797" s="62">
        <v>1852</v>
      </c>
      <c r="D2797" s="61">
        <v>0.16969999999999999</v>
      </c>
      <c r="E2797" s="61"/>
      <c r="F2797" s="122">
        <v>0.25159999999999999</v>
      </c>
      <c r="G2797" s="62">
        <v>9061</v>
      </c>
      <c r="H2797" s="64">
        <v>0.83030000000000004</v>
      </c>
      <c r="I2797" s="64"/>
      <c r="J2797" s="123">
        <v>0.74839999999999995</v>
      </c>
    </row>
    <row r="2798" spans="1:10">
      <c r="A2798" s="3" t="s">
        <v>13</v>
      </c>
      <c r="B2798" s="103">
        <v>435</v>
      </c>
      <c r="C2798" s="57">
        <v>200</v>
      </c>
      <c r="D2798" s="61">
        <v>0.45979999999999999</v>
      </c>
      <c r="E2798" s="61"/>
      <c r="F2798" s="122">
        <v>0.81120000000000003</v>
      </c>
      <c r="G2798" s="57">
        <v>235</v>
      </c>
      <c r="H2798" s="64">
        <v>0.54020000000000001</v>
      </c>
      <c r="I2798" s="64"/>
      <c r="J2798" s="123">
        <v>0.1888</v>
      </c>
    </row>
    <row r="2799" spans="1:10" ht="15.75" thickBot="1">
      <c r="A2799" s="3" t="s">
        <v>181</v>
      </c>
      <c r="B2799" s="103">
        <v>430</v>
      </c>
      <c r="C2799" s="105">
        <v>6</v>
      </c>
      <c r="D2799" s="106">
        <v>1.4E-2</v>
      </c>
      <c r="E2799" s="106"/>
      <c r="F2799" s="124">
        <v>0.2034</v>
      </c>
      <c r="G2799" s="50">
        <v>424</v>
      </c>
      <c r="H2799" s="68">
        <v>0.98599999999999999</v>
      </c>
      <c r="I2799" s="64"/>
      <c r="J2799" s="125">
        <v>0.79659999999999997</v>
      </c>
    </row>
    <row r="2800" spans="1:10" ht="17.25" thickTop="1" thickBot="1">
      <c r="A2800" s="34" t="s">
        <v>175</v>
      </c>
      <c r="B2800" s="84">
        <f>SUM(B2795:B2799)</f>
        <v>561489</v>
      </c>
      <c r="C2800" s="74">
        <f>SUM(C2795:C2799)</f>
        <v>3784</v>
      </c>
      <c r="D2800" s="107">
        <v>6.7000000000000002E-3</v>
      </c>
      <c r="E2800" s="107"/>
      <c r="F2800" s="73">
        <v>0.35570000000000002</v>
      </c>
      <c r="G2800" s="74">
        <f>SUM(G2795:G2799)</f>
        <v>557705</v>
      </c>
      <c r="H2800" s="75">
        <v>0.99329999999999996</v>
      </c>
      <c r="I2800" s="75"/>
      <c r="J2800" s="76">
        <v>0.64429999999999998</v>
      </c>
    </row>
    <row r="2801" spans="1:10" ht="16.5" thickBot="1">
      <c r="A2801" s="22"/>
      <c r="B2801" s="111" t="s">
        <v>249</v>
      </c>
      <c r="C2801" s="22"/>
      <c r="D2801" s="22"/>
      <c r="E2801" s="22"/>
      <c r="F2801" s="22"/>
      <c r="G2801" s="22"/>
      <c r="H2801" s="22"/>
      <c r="I2801" s="22"/>
      <c r="J2801" s="112"/>
    </row>
    <row r="2802" spans="1:10" ht="17.25" thickTop="1" thickBot="1">
      <c r="A2802" s="1" t="s">
        <v>290</v>
      </c>
      <c r="B2802" s="97"/>
      <c r="C2802" s="113" t="s">
        <v>179</v>
      </c>
      <c r="D2802" s="114"/>
      <c r="E2802" s="114"/>
      <c r="F2802" s="115"/>
      <c r="G2802" s="114" t="s">
        <v>180</v>
      </c>
      <c r="H2802" s="114"/>
      <c r="I2802" s="114"/>
      <c r="J2802" s="115"/>
    </row>
    <row r="2803" spans="1:10" ht="15.75" thickTop="1">
      <c r="B2803" s="42" t="s">
        <v>4</v>
      </c>
      <c r="C2803" s="43" t="s">
        <v>5</v>
      </c>
      <c r="D2803" s="44"/>
      <c r="E2803" s="44"/>
      <c r="F2803" s="116" t="s">
        <v>6</v>
      </c>
      <c r="G2803" s="43" t="s">
        <v>7</v>
      </c>
      <c r="H2803" s="46"/>
      <c r="I2803" s="46"/>
      <c r="J2803" s="117" t="s">
        <v>6</v>
      </c>
    </row>
    <row r="2804" spans="1:10" ht="15.75" thickBot="1">
      <c r="B2804" s="49" t="s">
        <v>8</v>
      </c>
      <c r="C2804" s="50" t="s">
        <v>8</v>
      </c>
      <c r="D2804" s="51" t="s">
        <v>9</v>
      </c>
      <c r="E2804" s="51"/>
      <c r="F2804" s="118" t="s">
        <v>9</v>
      </c>
      <c r="G2804" s="53" t="s">
        <v>8</v>
      </c>
      <c r="H2804" s="54" t="s">
        <v>9</v>
      </c>
      <c r="I2804" s="54"/>
      <c r="J2804" s="119" t="s">
        <v>9</v>
      </c>
    </row>
    <row r="2805" spans="1:10" ht="15.75" thickTop="1">
      <c r="C2805" s="43"/>
      <c r="F2805" s="120"/>
      <c r="G2805" s="57"/>
      <c r="J2805" s="121"/>
    </row>
    <row r="2806" spans="1:10">
      <c r="A2806" s="3" t="s">
        <v>10</v>
      </c>
      <c r="B2806" s="103">
        <v>500974</v>
      </c>
      <c r="C2806" s="57">
        <v>861</v>
      </c>
      <c r="D2806" s="61">
        <v>1.6999999999999999E-3</v>
      </c>
      <c r="E2806" s="61"/>
      <c r="F2806" s="122">
        <v>1.4E-3</v>
      </c>
      <c r="G2806" s="62">
        <v>500113</v>
      </c>
      <c r="H2806" s="64">
        <v>0.99829999999999997</v>
      </c>
      <c r="I2806" s="64"/>
      <c r="J2806" s="123">
        <v>0.99860000000000004</v>
      </c>
    </row>
    <row r="2807" spans="1:10">
      <c r="A2807" s="3" t="s">
        <v>11</v>
      </c>
      <c r="B2807" s="103">
        <v>47832</v>
      </c>
      <c r="C2807" s="57">
        <v>794</v>
      </c>
      <c r="D2807" s="61">
        <v>1.66E-2</v>
      </c>
      <c r="E2807" s="61"/>
      <c r="F2807" s="122">
        <v>1.2800000000000001E-2</v>
      </c>
      <c r="G2807" s="62">
        <v>47038</v>
      </c>
      <c r="H2807" s="64">
        <v>0.98340000000000005</v>
      </c>
      <c r="I2807" s="64"/>
      <c r="J2807" s="123">
        <v>0.98719999999999997</v>
      </c>
    </row>
    <row r="2808" spans="1:10">
      <c r="A2808" s="3" t="s">
        <v>12</v>
      </c>
      <c r="B2808" s="103">
        <v>10890</v>
      </c>
      <c r="C2808" s="62">
        <v>1835</v>
      </c>
      <c r="D2808" s="61">
        <v>0.16850000000000001</v>
      </c>
      <c r="E2808" s="61"/>
      <c r="F2808" s="122">
        <v>0.25090000000000001</v>
      </c>
      <c r="G2808" s="62">
        <v>9055</v>
      </c>
      <c r="H2808" s="64">
        <v>0.83150000000000002</v>
      </c>
      <c r="I2808" s="64"/>
      <c r="J2808" s="123">
        <v>0.74909999999999999</v>
      </c>
    </row>
    <row r="2809" spans="1:10">
      <c r="A2809" s="3" t="s">
        <v>13</v>
      </c>
      <c r="B2809" s="103">
        <v>437</v>
      </c>
      <c r="C2809" s="57">
        <v>199</v>
      </c>
      <c r="D2809" s="61">
        <v>0.45540000000000003</v>
      </c>
      <c r="E2809" s="61"/>
      <c r="F2809" s="122">
        <v>0.81730000000000003</v>
      </c>
      <c r="G2809" s="57">
        <v>238</v>
      </c>
      <c r="H2809" s="64">
        <v>0.54459999999999997</v>
      </c>
      <c r="I2809" s="64"/>
      <c r="J2809" s="123">
        <v>0.1827</v>
      </c>
    </row>
    <row r="2810" spans="1:10" ht="15.75" thickBot="1">
      <c r="A2810" s="3" t="s">
        <v>181</v>
      </c>
      <c r="B2810" s="103">
        <v>430</v>
      </c>
      <c r="C2810" s="105">
        <v>6</v>
      </c>
      <c r="D2810" s="106">
        <v>1.4E-2</v>
      </c>
      <c r="E2810" s="106"/>
      <c r="F2810" s="124">
        <v>0.2</v>
      </c>
      <c r="G2810" s="50">
        <v>424</v>
      </c>
      <c r="H2810" s="68">
        <v>0.98599999999999999</v>
      </c>
      <c r="I2810" s="64"/>
      <c r="J2810" s="125">
        <v>0.8</v>
      </c>
    </row>
    <row r="2811" spans="1:10" ht="17.25" thickTop="1" thickBot="1">
      <c r="A2811" s="34" t="s">
        <v>175</v>
      </c>
      <c r="B2811" s="84">
        <f>SUM(B2806:B2810)</f>
        <v>560563</v>
      </c>
      <c r="C2811" s="74">
        <f>SUM(C2806:C2810)</f>
        <v>3695</v>
      </c>
      <c r="D2811" s="107">
        <v>6.6E-3</v>
      </c>
      <c r="E2811" s="107"/>
      <c r="F2811" s="73">
        <v>0.35499999999999998</v>
      </c>
      <c r="G2811" s="74">
        <f>SUM(G2806:G2810)</f>
        <v>556868</v>
      </c>
      <c r="H2811" s="75">
        <v>0.99339999999999995</v>
      </c>
      <c r="I2811" s="75"/>
      <c r="J2811" s="76">
        <v>0.64500000000000002</v>
      </c>
    </row>
    <row r="2812" spans="1:10" ht="16.5" thickBot="1">
      <c r="A2812" s="22"/>
      <c r="B2812" s="111" t="s">
        <v>249</v>
      </c>
      <c r="C2812" s="22"/>
      <c r="D2812" s="22"/>
      <c r="E2812" s="22"/>
      <c r="F2812" s="22"/>
      <c r="G2812" s="22"/>
      <c r="H2812" s="22"/>
      <c r="I2812" s="22"/>
      <c r="J2812" s="112"/>
    </row>
    <row r="2813" spans="1:10" ht="17.25" thickTop="1" thickBot="1">
      <c r="A2813" s="1" t="s">
        <v>291</v>
      </c>
      <c r="B2813" s="97"/>
      <c r="C2813" s="113" t="s">
        <v>179</v>
      </c>
      <c r="D2813" s="114"/>
      <c r="E2813" s="114"/>
      <c r="F2813" s="115"/>
      <c r="G2813" s="114" t="s">
        <v>180</v>
      </c>
      <c r="H2813" s="114"/>
      <c r="I2813" s="114"/>
      <c r="J2813" s="115"/>
    </row>
    <row r="2814" spans="1:10" ht="15.75" thickTop="1">
      <c r="B2814" s="42" t="s">
        <v>4</v>
      </c>
      <c r="C2814" s="43" t="s">
        <v>5</v>
      </c>
      <c r="D2814" s="44"/>
      <c r="E2814" s="44"/>
      <c r="F2814" s="116" t="s">
        <v>6</v>
      </c>
      <c r="G2814" s="43" t="s">
        <v>7</v>
      </c>
      <c r="H2814" s="46"/>
      <c r="I2814" s="46"/>
      <c r="J2814" s="117" t="s">
        <v>6</v>
      </c>
    </row>
    <row r="2815" spans="1:10" ht="15.75" thickBot="1">
      <c r="B2815" s="49" t="s">
        <v>8</v>
      </c>
      <c r="C2815" s="50" t="s">
        <v>8</v>
      </c>
      <c r="D2815" s="51" t="s">
        <v>9</v>
      </c>
      <c r="E2815" s="51"/>
      <c r="F2815" s="118" t="s">
        <v>9</v>
      </c>
      <c r="G2815" s="53" t="s">
        <v>8</v>
      </c>
      <c r="H2815" s="54" t="s">
        <v>9</v>
      </c>
      <c r="I2815" s="54"/>
      <c r="J2815" s="119" t="s">
        <v>9</v>
      </c>
    </row>
    <row r="2816" spans="1:10" ht="15.75" thickTop="1">
      <c r="C2816" s="43"/>
      <c r="F2816" s="120"/>
      <c r="G2816" s="57"/>
      <c r="J2816" s="121"/>
    </row>
    <row r="2817" spans="1:10">
      <c r="A2817" s="3" t="s">
        <v>10</v>
      </c>
      <c r="B2817" s="103">
        <v>500217</v>
      </c>
      <c r="C2817" s="57">
        <v>788</v>
      </c>
      <c r="D2817" s="61">
        <v>1.6000000000000001E-3</v>
      </c>
      <c r="E2817" s="61"/>
      <c r="F2817" s="122">
        <v>1.4E-3</v>
      </c>
      <c r="G2817" s="62">
        <v>499429</v>
      </c>
      <c r="H2817" s="64">
        <v>0.99839999999999995</v>
      </c>
      <c r="I2817" s="64"/>
      <c r="J2817" s="123">
        <v>0.99860000000000004</v>
      </c>
    </row>
    <row r="2818" spans="1:10">
      <c r="A2818" s="3" t="s">
        <v>11</v>
      </c>
      <c r="B2818" s="103">
        <v>47756</v>
      </c>
      <c r="C2818" s="57">
        <v>793</v>
      </c>
      <c r="D2818" s="61">
        <v>1.66E-2</v>
      </c>
      <c r="E2818" s="61"/>
      <c r="F2818" s="122">
        <v>1.47E-2</v>
      </c>
      <c r="G2818" s="62">
        <v>46963</v>
      </c>
      <c r="H2818" s="64">
        <v>0.98340000000000005</v>
      </c>
      <c r="I2818" s="64"/>
      <c r="J2818" s="123">
        <v>0.98529999999999995</v>
      </c>
    </row>
    <row r="2819" spans="1:10">
      <c r="A2819" s="3" t="s">
        <v>12</v>
      </c>
      <c r="B2819" s="103">
        <v>10879</v>
      </c>
      <c r="C2819" s="62">
        <v>1831</v>
      </c>
      <c r="D2819" s="61">
        <v>0.16830000000000001</v>
      </c>
      <c r="E2819" s="61"/>
      <c r="F2819" s="122">
        <v>0.24779999999999999</v>
      </c>
      <c r="G2819" s="62">
        <v>9048</v>
      </c>
      <c r="H2819" s="64">
        <v>0.83169999999999999</v>
      </c>
      <c r="I2819" s="64"/>
      <c r="J2819" s="123">
        <v>0.75219999999999998</v>
      </c>
    </row>
    <row r="2820" spans="1:10">
      <c r="A2820" s="3" t="s">
        <v>13</v>
      </c>
      <c r="B2820" s="103">
        <v>434</v>
      </c>
      <c r="C2820" s="57">
        <v>193</v>
      </c>
      <c r="D2820" s="61">
        <v>0.44469999999999998</v>
      </c>
      <c r="E2820" s="61"/>
      <c r="F2820" s="122">
        <v>0.80349999999999999</v>
      </c>
      <c r="G2820" s="57">
        <v>241</v>
      </c>
      <c r="H2820" s="64">
        <v>0.55530000000000002</v>
      </c>
      <c r="I2820" s="64"/>
      <c r="J2820" s="123">
        <v>0.19650000000000001</v>
      </c>
    </row>
    <row r="2821" spans="1:10" ht="15.75" thickBot="1">
      <c r="A2821" s="3" t="s">
        <v>181</v>
      </c>
      <c r="B2821" s="103">
        <v>430</v>
      </c>
      <c r="C2821" s="105">
        <v>6</v>
      </c>
      <c r="D2821" s="106">
        <v>1.4E-2</v>
      </c>
      <c r="E2821" s="106"/>
      <c r="F2821" s="124">
        <v>0.19819999999999999</v>
      </c>
      <c r="G2821" s="50">
        <v>424</v>
      </c>
      <c r="H2821" s="68">
        <v>0.98599999999999999</v>
      </c>
      <c r="I2821" s="64"/>
      <c r="J2821" s="125">
        <v>0.80179999999999996</v>
      </c>
    </row>
    <row r="2822" spans="1:10" ht="17.25" thickTop="1" thickBot="1">
      <c r="A2822" s="34" t="s">
        <v>175</v>
      </c>
      <c r="B2822" s="84">
        <f>SUM(B2817:B2821)</f>
        <v>559716</v>
      </c>
      <c r="C2822" s="74">
        <f>SUM(C2817:C2821)</f>
        <v>3611</v>
      </c>
      <c r="D2822" s="107">
        <v>6.4999999999999997E-3</v>
      </c>
      <c r="E2822" s="107"/>
      <c r="F2822" s="73">
        <v>0.34970000000000001</v>
      </c>
      <c r="G2822" s="74">
        <f>SUM(G2817:G2821)</f>
        <v>556105</v>
      </c>
      <c r="H2822" s="75">
        <v>0.99350000000000005</v>
      </c>
      <c r="I2822" s="75"/>
      <c r="J2822" s="76">
        <v>0.65029999999999999</v>
      </c>
    </row>
    <row r="2823" spans="1:10" ht="16.5" thickBot="1">
      <c r="A2823" s="22"/>
      <c r="B2823" s="111" t="s">
        <v>249</v>
      </c>
      <c r="C2823" s="22"/>
      <c r="D2823" s="22"/>
      <c r="E2823" s="22"/>
      <c r="F2823" s="22"/>
      <c r="G2823" s="22"/>
      <c r="H2823" s="22"/>
      <c r="I2823" s="22"/>
      <c r="J2823" s="112"/>
    </row>
    <row r="2824" spans="1:10" ht="17.25" thickTop="1" thickBot="1">
      <c r="A2824" s="1" t="s">
        <v>292</v>
      </c>
      <c r="B2824" s="97"/>
      <c r="C2824" s="113" t="s">
        <v>179</v>
      </c>
      <c r="D2824" s="114"/>
      <c r="E2824" s="114"/>
      <c r="F2824" s="115"/>
      <c r="G2824" s="114" t="s">
        <v>180</v>
      </c>
      <c r="H2824" s="114"/>
      <c r="I2824" s="114"/>
      <c r="J2824" s="115"/>
    </row>
    <row r="2825" spans="1:10" ht="15.75" thickTop="1">
      <c r="B2825" s="42" t="s">
        <v>4</v>
      </c>
      <c r="C2825" s="43" t="s">
        <v>5</v>
      </c>
      <c r="D2825" s="44"/>
      <c r="E2825" s="44"/>
      <c r="F2825" s="116" t="s">
        <v>6</v>
      </c>
      <c r="G2825" s="43" t="s">
        <v>7</v>
      </c>
      <c r="H2825" s="46"/>
      <c r="I2825" s="46"/>
      <c r="J2825" s="117" t="s">
        <v>6</v>
      </c>
    </row>
    <row r="2826" spans="1:10" ht="15.75" thickBot="1">
      <c r="B2826" s="49" t="s">
        <v>8</v>
      </c>
      <c r="C2826" s="50" t="s">
        <v>8</v>
      </c>
      <c r="D2826" s="51" t="s">
        <v>9</v>
      </c>
      <c r="E2826" s="51"/>
      <c r="F2826" s="118" t="s">
        <v>9</v>
      </c>
      <c r="G2826" s="53" t="s">
        <v>8</v>
      </c>
      <c r="H2826" s="54" t="s">
        <v>9</v>
      </c>
      <c r="I2826" s="54"/>
      <c r="J2826" s="119" t="s">
        <v>9</v>
      </c>
    </row>
    <row r="2827" spans="1:10" ht="15.75" thickTop="1">
      <c r="C2827" s="43"/>
      <c r="F2827" s="120"/>
      <c r="G2827" s="57"/>
      <c r="J2827" s="121"/>
    </row>
    <row r="2828" spans="1:10">
      <c r="A2828" s="3" t="s">
        <v>10</v>
      </c>
      <c r="B2828" s="103">
        <v>499852</v>
      </c>
      <c r="C2828" s="57">
        <v>708</v>
      </c>
      <c r="D2828" s="61">
        <v>1.4E-3</v>
      </c>
      <c r="E2828" s="61"/>
      <c r="F2828" s="122">
        <v>1.1999999999999999E-3</v>
      </c>
      <c r="G2828" s="62">
        <v>499144</v>
      </c>
      <c r="H2828" s="64">
        <v>0.99860000000000004</v>
      </c>
      <c r="I2828" s="64"/>
      <c r="J2828" s="123">
        <v>0.99880000000000002</v>
      </c>
    </row>
    <row r="2829" spans="1:10">
      <c r="A2829" s="3" t="s">
        <v>11</v>
      </c>
      <c r="B2829" s="103">
        <v>47682</v>
      </c>
      <c r="C2829" s="57">
        <v>792</v>
      </c>
      <c r="D2829" s="61">
        <v>1.66E-2</v>
      </c>
      <c r="E2829" s="61"/>
      <c r="F2829" s="122">
        <v>1.5599999999999999E-2</v>
      </c>
      <c r="G2829" s="62">
        <v>46890</v>
      </c>
      <c r="H2829" s="64">
        <v>0.98340000000000005</v>
      </c>
      <c r="I2829" s="64"/>
      <c r="J2829" s="123">
        <v>0.98440000000000005</v>
      </c>
    </row>
    <row r="2830" spans="1:10">
      <c r="A2830" s="3" t="s">
        <v>12</v>
      </c>
      <c r="B2830" s="103">
        <v>10854</v>
      </c>
      <c r="C2830" s="62">
        <v>1838</v>
      </c>
      <c r="D2830" s="61">
        <v>0.16930000000000001</v>
      </c>
      <c r="E2830" s="61"/>
      <c r="F2830" s="122">
        <v>0.2535</v>
      </c>
      <c r="G2830" s="62">
        <v>9016</v>
      </c>
      <c r="H2830" s="64">
        <v>0.83069999999999999</v>
      </c>
      <c r="I2830" s="64"/>
      <c r="J2830" s="123">
        <v>0.74650000000000005</v>
      </c>
    </row>
    <row r="2831" spans="1:10">
      <c r="A2831" s="3" t="s">
        <v>13</v>
      </c>
      <c r="B2831" s="103">
        <v>433</v>
      </c>
      <c r="C2831" s="57">
        <v>183</v>
      </c>
      <c r="D2831" s="61">
        <v>0.42259999999999998</v>
      </c>
      <c r="E2831" s="61"/>
      <c r="F2831" s="122">
        <v>0.77300000000000002</v>
      </c>
      <c r="G2831" s="57">
        <v>250</v>
      </c>
      <c r="H2831" s="64">
        <v>0.57740000000000002</v>
      </c>
      <c r="I2831" s="64"/>
      <c r="J2831" s="123">
        <v>0.22700000000000001</v>
      </c>
    </row>
    <row r="2832" spans="1:10" ht="15.75" thickBot="1">
      <c r="A2832" s="3" t="s">
        <v>181</v>
      </c>
      <c r="B2832" s="103">
        <v>428</v>
      </c>
      <c r="C2832" s="105">
        <v>6</v>
      </c>
      <c r="D2832" s="106">
        <v>1.4E-2</v>
      </c>
      <c r="E2832" s="106"/>
      <c r="F2832" s="124">
        <v>0.20430000000000001</v>
      </c>
      <c r="G2832" s="50">
        <v>422</v>
      </c>
      <c r="H2832" s="68">
        <v>0.98599999999999999</v>
      </c>
      <c r="I2832" s="64"/>
      <c r="J2832" s="125">
        <v>0.79569999999999996</v>
      </c>
    </row>
    <row r="2833" spans="1:10" ht="17.25" thickTop="1" thickBot="1">
      <c r="A2833" s="34" t="s">
        <v>175</v>
      </c>
      <c r="B2833" s="126">
        <f>SUM(B2828:B2832)</f>
        <v>559249</v>
      </c>
      <c r="C2833" s="74">
        <f>SUM(C2828:C2832)</f>
        <v>3527</v>
      </c>
      <c r="D2833" s="107">
        <v>6.3E-3</v>
      </c>
      <c r="E2833" s="107"/>
      <c r="F2833" s="73">
        <v>0.3367</v>
      </c>
      <c r="G2833" s="74">
        <f>SUM(G2828:G2832)</f>
        <v>555722</v>
      </c>
      <c r="H2833" s="75">
        <v>0.99370000000000003</v>
      </c>
      <c r="I2833" s="75"/>
      <c r="J2833" s="76">
        <v>0.6633</v>
      </c>
    </row>
    <row r="2834" spans="1:10" ht="16.5" thickBot="1">
      <c r="A2834" s="22"/>
      <c r="B2834" s="111" t="s">
        <v>249</v>
      </c>
      <c r="C2834" s="22"/>
      <c r="D2834" s="22"/>
      <c r="E2834" s="22"/>
      <c r="F2834" s="22"/>
      <c r="G2834" s="22"/>
      <c r="H2834" s="22"/>
      <c r="I2834" s="22"/>
      <c r="J2834" s="112"/>
    </row>
    <row r="2835" spans="1:10" ht="17.25" thickTop="1" thickBot="1">
      <c r="A2835" s="1" t="s">
        <v>293</v>
      </c>
      <c r="B2835" s="97"/>
      <c r="C2835" s="113" t="s">
        <v>179</v>
      </c>
      <c r="D2835" s="114"/>
      <c r="E2835" s="114"/>
      <c r="F2835" s="115"/>
      <c r="G2835" s="114" t="s">
        <v>180</v>
      </c>
      <c r="H2835" s="114"/>
      <c r="I2835" s="114"/>
      <c r="J2835" s="115"/>
    </row>
    <row r="2836" spans="1:10" ht="15.75" thickTop="1">
      <c r="B2836" s="42" t="s">
        <v>4</v>
      </c>
      <c r="C2836" s="43" t="s">
        <v>5</v>
      </c>
      <c r="D2836" s="44"/>
      <c r="E2836" s="44"/>
      <c r="F2836" s="116" t="s">
        <v>6</v>
      </c>
      <c r="G2836" s="43" t="s">
        <v>7</v>
      </c>
      <c r="H2836" s="46"/>
      <c r="I2836" s="46"/>
      <c r="J2836" s="117" t="s">
        <v>6</v>
      </c>
    </row>
    <row r="2837" spans="1:10" ht="15.75" thickBot="1">
      <c r="B2837" s="49" t="s">
        <v>8</v>
      </c>
      <c r="C2837" s="50" t="s">
        <v>8</v>
      </c>
      <c r="D2837" s="51" t="s">
        <v>9</v>
      </c>
      <c r="E2837" s="51"/>
      <c r="F2837" s="118" t="s">
        <v>9</v>
      </c>
      <c r="G2837" s="53" t="s">
        <v>8</v>
      </c>
      <c r="H2837" s="54" t="s">
        <v>9</v>
      </c>
      <c r="I2837" s="54"/>
      <c r="J2837" s="119" t="s">
        <v>9</v>
      </c>
    </row>
    <row r="2838" spans="1:10" ht="15.75" thickTop="1">
      <c r="C2838" s="43"/>
      <c r="F2838" s="120"/>
      <c r="G2838" s="57"/>
      <c r="J2838" s="121"/>
    </row>
    <row r="2839" spans="1:10">
      <c r="A2839" s="3" t="s">
        <v>10</v>
      </c>
      <c r="B2839" s="103">
        <v>499747</v>
      </c>
      <c r="C2839" s="57">
        <v>583</v>
      </c>
      <c r="D2839" s="61">
        <v>1.1999999999999999E-3</v>
      </c>
      <c r="E2839" s="61"/>
      <c r="F2839" s="122">
        <v>1E-3</v>
      </c>
      <c r="G2839" s="62">
        <v>499164</v>
      </c>
      <c r="H2839" s="64">
        <v>0.99880000000000002</v>
      </c>
      <c r="I2839" s="64"/>
      <c r="J2839" s="123">
        <v>0.999</v>
      </c>
    </row>
    <row r="2840" spans="1:10">
      <c r="A2840" s="3" t="s">
        <v>11</v>
      </c>
      <c r="B2840" s="103">
        <v>47508</v>
      </c>
      <c r="C2840" s="57">
        <v>150</v>
      </c>
      <c r="D2840" s="61">
        <v>3.2000000000000002E-3</v>
      </c>
      <c r="E2840" s="61"/>
      <c r="F2840" s="122">
        <v>4.1999999999999997E-3</v>
      </c>
      <c r="G2840" s="62">
        <v>47358</v>
      </c>
      <c r="H2840" s="64">
        <v>0.99680000000000002</v>
      </c>
      <c r="I2840" s="64"/>
      <c r="J2840" s="123">
        <v>0.99580000000000002</v>
      </c>
    </row>
    <row r="2841" spans="1:10">
      <c r="A2841" s="3" t="s">
        <v>12</v>
      </c>
      <c r="B2841" s="103">
        <v>10860</v>
      </c>
      <c r="C2841" s="62">
        <v>1839</v>
      </c>
      <c r="D2841" s="61">
        <v>0.16930000000000001</v>
      </c>
      <c r="E2841" s="61"/>
      <c r="F2841" s="122">
        <v>0.25390000000000001</v>
      </c>
      <c r="G2841" s="62">
        <v>9021</v>
      </c>
      <c r="H2841" s="64">
        <v>0.83069999999999999</v>
      </c>
      <c r="I2841" s="64"/>
      <c r="J2841" s="123">
        <v>0.74609999999999999</v>
      </c>
    </row>
    <row r="2842" spans="1:10">
      <c r="A2842" s="3" t="s">
        <v>13</v>
      </c>
      <c r="B2842" s="103">
        <v>430</v>
      </c>
      <c r="C2842" s="57">
        <v>180</v>
      </c>
      <c r="D2842" s="61">
        <v>0.41860000000000003</v>
      </c>
      <c r="E2842" s="61"/>
      <c r="F2842" s="122">
        <v>0.77410000000000001</v>
      </c>
      <c r="G2842" s="57">
        <v>250</v>
      </c>
      <c r="H2842" s="64">
        <v>0.58140000000000003</v>
      </c>
      <c r="I2842" s="64"/>
      <c r="J2842" s="123">
        <v>0.22589999999999999</v>
      </c>
    </row>
    <row r="2843" spans="1:10" ht="15.75" thickBot="1">
      <c r="A2843" s="3" t="s">
        <v>181</v>
      </c>
      <c r="B2843" s="103">
        <v>429</v>
      </c>
      <c r="C2843" s="105">
        <v>7</v>
      </c>
      <c r="D2843" s="106">
        <v>1.6299999999999999E-2</v>
      </c>
      <c r="E2843" s="106"/>
      <c r="F2843" s="124">
        <v>0.20810000000000001</v>
      </c>
      <c r="G2843" s="50">
        <v>422</v>
      </c>
      <c r="H2843" s="68">
        <v>0.98370000000000002</v>
      </c>
      <c r="I2843" s="64"/>
      <c r="J2843" s="125">
        <v>0.79190000000000005</v>
      </c>
    </row>
    <row r="2844" spans="1:10" ht="17.25" thickTop="1" thickBot="1">
      <c r="A2844" s="34" t="s">
        <v>175</v>
      </c>
      <c r="B2844" s="126">
        <f>SUM(B2839:B2843)</f>
        <v>558974</v>
      </c>
      <c r="C2844" s="74">
        <f>SUM(C2839:C2843)</f>
        <v>2759</v>
      </c>
      <c r="D2844" s="107">
        <v>4.8999999999999998E-3</v>
      </c>
      <c r="E2844" s="107"/>
      <c r="F2844" s="75">
        <v>0.3412</v>
      </c>
      <c r="G2844" s="74">
        <f>SUM(G2839:G2843)</f>
        <v>556215</v>
      </c>
      <c r="H2844" s="75">
        <v>0.99509999999999998</v>
      </c>
      <c r="I2844" s="75"/>
      <c r="J2844" s="76">
        <v>0.65880000000000005</v>
      </c>
    </row>
    <row r="2845" spans="1:10" ht="16.5" thickBot="1">
      <c r="A2845" s="22"/>
      <c r="B2845" s="111" t="s">
        <v>249</v>
      </c>
      <c r="C2845" s="22"/>
      <c r="D2845" s="22"/>
      <c r="E2845" s="22"/>
      <c r="F2845" s="22"/>
      <c r="G2845" s="22"/>
      <c r="H2845" s="22"/>
      <c r="I2845" s="22"/>
      <c r="J2845" s="112"/>
    </row>
    <row r="2846" spans="1:10" ht="17.25" thickTop="1" thickBot="1">
      <c r="A2846" s="1" t="s">
        <v>294</v>
      </c>
      <c r="B2846" s="97"/>
      <c r="C2846" s="113" t="s">
        <v>179</v>
      </c>
      <c r="D2846" s="114"/>
      <c r="E2846" s="114"/>
      <c r="F2846" s="115"/>
      <c r="G2846" s="114" t="s">
        <v>180</v>
      </c>
      <c r="H2846" s="114"/>
      <c r="I2846" s="114"/>
      <c r="J2846" s="115"/>
    </row>
    <row r="2847" spans="1:10" ht="15.75" thickTop="1">
      <c r="B2847" s="42" t="s">
        <v>4</v>
      </c>
      <c r="C2847" s="43" t="s">
        <v>5</v>
      </c>
      <c r="D2847" s="44"/>
      <c r="E2847" s="44"/>
      <c r="F2847" s="116" t="s">
        <v>6</v>
      </c>
      <c r="G2847" s="43" t="s">
        <v>7</v>
      </c>
      <c r="H2847" s="46"/>
      <c r="I2847" s="46"/>
      <c r="J2847" s="117" t="s">
        <v>6</v>
      </c>
    </row>
    <row r="2848" spans="1:10" ht="15.75" thickBot="1">
      <c r="B2848" s="49" t="s">
        <v>8</v>
      </c>
      <c r="C2848" s="50" t="s">
        <v>8</v>
      </c>
      <c r="D2848" s="51" t="s">
        <v>9</v>
      </c>
      <c r="E2848" s="51"/>
      <c r="F2848" s="118" t="s">
        <v>9</v>
      </c>
      <c r="G2848" s="53" t="s">
        <v>8</v>
      </c>
      <c r="H2848" s="54" t="s">
        <v>9</v>
      </c>
      <c r="I2848" s="54"/>
      <c r="J2848" s="119" t="s">
        <v>9</v>
      </c>
    </row>
    <row r="2849" spans="1:10" ht="15.75" thickTop="1">
      <c r="C2849" s="43"/>
      <c r="F2849" s="120"/>
      <c r="G2849" s="57"/>
      <c r="J2849" s="121"/>
    </row>
    <row r="2850" spans="1:10">
      <c r="A2850" s="3" t="s">
        <v>10</v>
      </c>
      <c r="B2850" s="103">
        <v>499430</v>
      </c>
      <c r="C2850" s="57">
        <v>403</v>
      </c>
      <c r="D2850" s="61">
        <v>8.0000000000000004E-4</v>
      </c>
      <c r="E2850" s="61"/>
      <c r="F2850" s="122">
        <v>6.9999999999999999E-4</v>
      </c>
      <c r="G2850" s="62">
        <v>499027</v>
      </c>
      <c r="H2850" s="64">
        <v>0.99919999999999998</v>
      </c>
      <c r="I2850" s="64"/>
      <c r="J2850" s="123">
        <v>0.99929999999999997</v>
      </c>
    </row>
    <row r="2851" spans="1:10">
      <c r="A2851" s="3" t="s">
        <v>11</v>
      </c>
      <c r="B2851" s="103">
        <v>47463</v>
      </c>
      <c r="C2851" s="57">
        <v>113</v>
      </c>
      <c r="D2851" s="61">
        <v>2.3999999999999998E-3</v>
      </c>
      <c r="E2851" s="61"/>
      <c r="F2851" s="122">
        <v>4.1999999999999997E-3</v>
      </c>
      <c r="G2851" s="62">
        <v>47350</v>
      </c>
      <c r="H2851" s="64">
        <v>0.99760000000000004</v>
      </c>
      <c r="I2851" s="64"/>
      <c r="J2851" s="123">
        <v>0.99580000000000002</v>
      </c>
    </row>
    <row r="2852" spans="1:10">
      <c r="A2852" s="3" t="s">
        <v>12</v>
      </c>
      <c r="B2852" s="103">
        <v>10836</v>
      </c>
      <c r="C2852" s="62">
        <v>1915</v>
      </c>
      <c r="D2852" s="61">
        <v>0.1767</v>
      </c>
      <c r="E2852" s="61"/>
      <c r="F2852" s="122">
        <v>0.26079999999999998</v>
      </c>
      <c r="G2852" s="62">
        <v>8921</v>
      </c>
      <c r="H2852" s="64">
        <v>0.82330000000000003</v>
      </c>
      <c r="I2852" s="64"/>
      <c r="J2852" s="123">
        <v>0.73919999999999997</v>
      </c>
    </row>
    <row r="2853" spans="1:10">
      <c r="A2853" s="3" t="s">
        <v>13</v>
      </c>
      <c r="B2853" s="103">
        <v>427</v>
      </c>
      <c r="C2853" s="57">
        <v>175</v>
      </c>
      <c r="D2853" s="61">
        <v>0.4098</v>
      </c>
      <c r="E2853" s="61"/>
      <c r="F2853" s="122">
        <v>0.75290000000000001</v>
      </c>
      <c r="G2853" s="57">
        <v>252</v>
      </c>
      <c r="H2853" s="64">
        <v>0.59019999999999995</v>
      </c>
      <c r="I2853" s="64"/>
      <c r="J2853" s="123">
        <v>0.24709999999999999</v>
      </c>
    </row>
    <row r="2854" spans="1:10" ht="15.75" thickBot="1">
      <c r="A2854" s="3" t="s">
        <v>181</v>
      </c>
      <c r="B2854" s="103">
        <v>433</v>
      </c>
      <c r="C2854" s="105">
        <v>7</v>
      </c>
      <c r="D2854" s="106">
        <v>1.6199999999999999E-2</v>
      </c>
      <c r="E2854" s="106"/>
      <c r="F2854" s="124">
        <v>0.21099999999999999</v>
      </c>
      <c r="G2854" s="50">
        <v>426</v>
      </c>
      <c r="H2854" s="68">
        <v>0.98380000000000001</v>
      </c>
      <c r="I2854" s="64"/>
      <c r="J2854" s="125">
        <v>0.78900000000000003</v>
      </c>
    </row>
    <row r="2855" spans="1:10" ht="17.25" thickTop="1" thickBot="1">
      <c r="A2855" s="34" t="s">
        <v>175</v>
      </c>
      <c r="B2855" s="126">
        <f>SUM(B2850:B2854)</f>
        <v>558589</v>
      </c>
      <c r="C2855" s="74">
        <f>SUM(C2850:C2854)</f>
        <v>2613</v>
      </c>
      <c r="D2855" s="107">
        <v>4.7000000000000002E-3</v>
      </c>
      <c r="E2855" s="107"/>
      <c r="F2855" s="75">
        <v>0.32229999999999998</v>
      </c>
      <c r="G2855" s="74">
        <f>SUM(G2850:G2854)</f>
        <v>555976</v>
      </c>
      <c r="H2855" s="75">
        <v>0.99529999999999996</v>
      </c>
      <c r="I2855" s="75"/>
      <c r="J2855" s="76">
        <v>0.67769999999999997</v>
      </c>
    </row>
    <row r="2856" spans="1:10" ht="16.5" thickBot="1">
      <c r="A2856" s="22"/>
      <c r="B2856" s="111" t="s">
        <v>249</v>
      </c>
      <c r="C2856" s="22"/>
      <c r="D2856" s="22"/>
      <c r="E2856" s="22"/>
      <c r="F2856" s="22"/>
      <c r="G2856" s="22"/>
      <c r="H2856" s="22"/>
      <c r="I2856" s="22"/>
      <c r="J2856" s="112"/>
    </row>
    <row r="2857" spans="1:10" ht="17.25" thickTop="1" thickBot="1">
      <c r="A2857" s="1" t="s">
        <v>295</v>
      </c>
      <c r="B2857" s="97"/>
      <c r="C2857" s="113" t="s">
        <v>179</v>
      </c>
      <c r="D2857" s="114"/>
      <c r="E2857" s="114"/>
      <c r="F2857" s="115"/>
      <c r="G2857" s="114" t="s">
        <v>180</v>
      </c>
      <c r="H2857" s="114"/>
      <c r="I2857" s="114"/>
      <c r="J2857" s="115"/>
    </row>
    <row r="2858" spans="1:10" ht="15.75" thickTop="1">
      <c r="B2858" s="42" t="s">
        <v>4</v>
      </c>
      <c r="C2858" s="43" t="s">
        <v>5</v>
      </c>
      <c r="D2858" s="44"/>
      <c r="E2858" s="44"/>
      <c r="F2858" s="116" t="s">
        <v>6</v>
      </c>
      <c r="G2858" s="43" t="s">
        <v>7</v>
      </c>
      <c r="H2858" s="46"/>
      <c r="I2858" s="46"/>
      <c r="J2858" s="117" t="s">
        <v>6</v>
      </c>
    </row>
    <row r="2859" spans="1:10" ht="15.75" thickBot="1">
      <c r="B2859" s="49" t="s">
        <v>8</v>
      </c>
      <c r="C2859" s="50" t="s">
        <v>8</v>
      </c>
      <c r="D2859" s="51" t="s">
        <v>9</v>
      </c>
      <c r="E2859" s="51"/>
      <c r="F2859" s="118" t="s">
        <v>9</v>
      </c>
      <c r="G2859" s="53" t="s">
        <v>8</v>
      </c>
      <c r="H2859" s="54" t="s">
        <v>9</v>
      </c>
      <c r="I2859" s="54"/>
      <c r="J2859" s="119" t="s">
        <v>9</v>
      </c>
    </row>
    <row r="2860" spans="1:10" ht="15.75" thickTop="1">
      <c r="C2860" s="43"/>
      <c r="F2860" s="120"/>
      <c r="G2860" s="57"/>
      <c r="J2860" s="121"/>
    </row>
    <row r="2861" spans="1:10">
      <c r="A2861" s="3" t="s">
        <v>10</v>
      </c>
      <c r="B2861" s="103">
        <v>499143</v>
      </c>
      <c r="C2861" s="57">
        <v>174</v>
      </c>
      <c r="D2861" s="61">
        <v>2.9999999999999997E-4</v>
      </c>
      <c r="E2861" s="61"/>
      <c r="F2861" s="122">
        <v>2.9999999999999997E-4</v>
      </c>
      <c r="G2861" s="62">
        <v>498969</v>
      </c>
      <c r="H2861" s="64">
        <v>0.99970000000000003</v>
      </c>
      <c r="I2861" s="64"/>
      <c r="J2861" s="123">
        <v>0.99970000000000003</v>
      </c>
    </row>
    <row r="2862" spans="1:10">
      <c r="A2862" s="3" t="s">
        <v>11</v>
      </c>
      <c r="B2862" s="103">
        <v>47478</v>
      </c>
      <c r="C2862" s="57">
        <v>101</v>
      </c>
      <c r="D2862" s="61">
        <v>2.0999999999999999E-3</v>
      </c>
      <c r="E2862" s="61"/>
      <c r="F2862" s="122">
        <v>5.1000000000000004E-3</v>
      </c>
      <c r="G2862" s="62">
        <v>47377</v>
      </c>
      <c r="H2862" s="64">
        <v>0.99790000000000001</v>
      </c>
      <c r="I2862" s="64"/>
      <c r="J2862" s="123">
        <v>0.99490000000000001</v>
      </c>
    </row>
    <row r="2863" spans="1:10">
      <c r="A2863" s="3" t="s">
        <v>12</v>
      </c>
      <c r="B2863" s="103">
        <v>10810</v>
      </c>
      <c r="C2863" s="62">
        <v>1950</v>
      </c>
      <c r="D2863" s="61">
        <v>0.1804</v>
      </c>
      <c r="E2863" s="61"/>
      <c r="F2863" s="122">
        <v>0.26350000000000001</v>
      </c>
      <c r="G2863" s="62">
        <v>8860</v>
      </c>
      <c r="H2863" s="64">
        <v>0.8196</v>
      </c>
      <c r="I2863" s="64"/>
      <c r="J2863" s="123">
        <v>0.73650000000000004</v>
      </c>
    </row>
    <row r="2864" spans="1:10">
      <c r="A2864" s="3" t="s">
        <v>13</v>
      </c>
      <c r="B2864" s="103">
        <v>428</v>
      </c>
      <c r="C2864" s="57">
        <v>175</v>
      </c>
      <c r="D2864" s="61">
        <v>0.40889999999999999</v>
      </c>
      <c r="E2864" s="61"/>
      <c r="F2864" s="122">
        <v>0.7419</v>
      </c>
      <c r="G2864" s="57">
        <v>253</v>
      </c>
      <c r="H2864" s="64">
        <v>0.59109999999999996</v>
      </c>
      <c r="I2864" s="64"/>
      <c r="J2864" s="123">
        <v>0.2581</v>
      </c>
    </row>
    <row r="2865" spans="1:10" ht="15.75" thickBot="1">
      <c r="A2865" s="3" t="s">
        <v>181</v>
      </c>
      <c r="B2865" s="103">
        <v>433</v>
      </c>
      <c r="C2865" s="105">
        <v>6</v>
      </c>
      <c r="D2865" s="106">
        <v>1.3899999999999999E-2</v>
      </c>
      <c r="E2865" s="106"/>
      <c r="F2865" s="124">
        <v>0.2104</v>
      </c>
      <c r="G2865" s="50">
        <v>427</v>
      </c>
      <c r="H2865" s="68">
        <v>0.98609999999999998</v>
      </c>
      <c r="I2865" s="64"/>
      <c r="J2865" s="125">
        <v>0.78959999999999997</v>
      </c>
    </row>
    <row r="2866" spans="1:10" ht="17.25" thickTop="1" thickBot="1">
      <c r="A2866" s="34" t="s">
        <v>175</v>
      </c>
      <c r="B2866" s="126">
        <f>SUM(B2861:B2865)</f>
        <v>558292</v>
      </c>
      <c r="C2866" s="74">
        <f>SUM(C2861:C2865)</f>
        <v>2406</v>
      </c>
      <c r="D2866" s="107">
        <v>4.3E-3</v>
      </c>
      <c r="E2866" s="107"/>
      <c r="F2866" s="75">
        <v>0.30840000000000001</v>
      </c>
      <c r="G2866" s="74">
        <f>SUM(G2861:G2865)</f>
        <v>555886</v>
      </c>
      <c r="H2866" s="75">
        <v>0.99570000000000003</v>
      </c>
      <c r="I2866" s="75"/>
      <c r="J2866" s="76">
        <v>0.69159999999999999</v>
      </c>
    </row>
    <row r="2867" spans="1:10" ht="16.5" thickBot="1">
      <c r="A2867" s="22"/>
      <c r="B2867" s="111" t="s">
        <v>249</v>
      </c>
      <c r="C2867" s="22"/>
      <c r="D2867" s="22"/>
      <c r="E2867" s="22"/>
      <c r="F2867" s="22"/>
      <c r="G2867" s="22"/>
      <c r="H2867" s="22"/>
      <c r="I2867" s="22"/>
      <c r="J2867" s="112"/>
    </row>
    <row r="2868" spans="1:10" ht="17.25" thickTop="1" thickBot="1">
      <c r="A2868" s="1" t="s">
        <v>296</v>
      </c>
      <c r="B2868" s="97"/>
      <c r="C2868" s="113" t="s">
        <v>179</v>
      </c>
      <c r="D2868" s="114"/>
      <c r="E2868" s="114"/>
      <c r="F2868" s="115"/>
      <c r="G2868" s="114" t="s">
        <v>180</v>
      </c>
      <c r="H2868" s="114"/>
      <c r="I2868" s="114"/>
      <c r="J2868" s="115"/>
    </row>
    <row r="2869" spans="1:10" ht="15.75" thickTop="1">
      <c r="B2869" s="42" t="s">
        <v>4</v>
      </c>
      <c r="C2869" s="43" t="s">
        <v>5</v>
      </c>
      <c r="D2869" s="44"/>
      <c r="E2869" s="44"/>
      <c r="F2869" s="116" t="s">
        <v>6</v>
      </c>
      <c r="G2869" s="43" t="s">
        <v>7</v>
      </c>
      <c r="H2869" s="46"/>
      <c r="I2869" s="46"/>
      <c r="J2869" s="117" t="s">
        <v>6</v>
      </c>
    </row>
    <row r="2870" spans="1:10" ht="15.75" thickBot="1">
      <c r="B2870" s="49" t="s">
        <v>8</v>
      </c>
      <c r="C2870" s="50" t="s">
        <v>8</v>
      </c>
      <c r="D2870" s="51" t="s">
        <v>9</v>
      </c>
      <c r="E2870" s="51"/>
      <c r="F2870" s="118" t="s">
        <v>9</v>
      </c>
      <c r="G2870" s="53" t="s">
        <v>8</v>
      </c>
      <c r="H2870" s="54" t="s">
        <v>9</v>
      </c>
      <c r="I2870" s="54"/>
      <c r="J2870" s="119" t="s">
        <v>9</v>
      </c>
    </row>
    <row r="2871" spans="1:10" ht="15.75" thickTop="1">
      <c r="C2871" s="43"/>
      <c r="F2871" s="120"/>
      <c r="G2871" s="57"/>
      <c r="J2871" s="121"/>
    </row>
    <row r="2872" spans="1:10">
      <c r="A2872" s="3" t="s">
        <v>10</v>
      </c>
      <c r="B2872" s="103">
        <v>498842</v>
      </c>
      <c r="C2872" s="57">
        <v>6</v>
      </c>
      <c r="D2872" s="61">
        <v>0</v>
      </c>
      <c r="E2872" s="61"/>
      <c r="F2872" s="122">
        <v>0</v>
      </c>
      <c r="G2872" s="62">
        <v>498836</v>
      </c>
      <c r="H2872" s="64">
        <v>1</v>
      </c>
      <c r="I2872" s="64"/>
      <c r="J2872" s="123">
        <v>1</v>
      </c>
    </row>
    <row r="2873" spans="1:10">
      <c r="A2873" s="3" t="s">
        <v>11</v>
      </c>
      <c r="B2873" s="103">
        <v>47475</v>
      </c>
      <c r="C2873" s="57">
        <v>102</v>
      </c>
      <c r="D2873" s="61">
        <v>2.0999999999999999E-3</v>
      </c>
      <c r="E2873" s="61"/>
      <c r="F2873" s="122">
        <v>4.7000000000000002E-3</v>
      </c>
      <c r="G2873" s="62">
        <v>47373</v>
      </c>
      <c r="H2873" s="64">
        <v>0.99790000000000001</v>
      </c>
      <c r="I2873" s="64"/>
      <c r="J2873" s="123">
        <v>0.99529999999999996</v>
      </c>
    </row>
    <row r="2874" spans="1:10">
      <c r="A2874" s="3" t="s">
        <v>12</v>
      </c>
      <c r="B2874" s="103">
        <v>10800</v>
      </c>
      <c r="C2874" s="62">
        <v>1985</v>
      </c>
      <c r="D2874" s="61">
        <v>0.18379999999999999</v>
      </c>
      <c r="E2874" s="61"/>
      <c r="F2874" s="122">
        <v>0.26729999999999998</v>
      </c>
      <c r="G2874" s="62">
        <v>8815</v>
      </c>
      <c r="H2874" s="64">
        <v>0.81620000000000004</v>
      </c>
      <c r="I2874" s="64"/>
      <c r="J2874" s="123">
        <v>0.73270000000000002</v>
      </c>
    </row>
    <row r="2875" spans="1:10">
      <c r="A2875" s="3" t="s">
        <v>13</v>
      </c>
      <c r="B2875" s="103">
        <v>421</v>
      </c>
      <c r="C2875" s="57">
        <v>176</v>
      </c>
      <c r="D2875" s="61">
        <v>0.41810000000000003</v>
      </c>
      <c r="E2875" s="61"/>
      <c r="F2875" s="122">
        <v>0.74480000000000002</v>
      </c>
      <c r="G2875" s="57">
        <v>245</v>
      </c>
      <c r="H2875" s="64">
        <v>0.58189999999999997</v>
      </c>
      <c r="I2875" s="64"/>
      <c r="J2875" s="123">
        <v>0.25519999999999998</v>
      </c>
    </row>
    <row r="2876" spans="1:10" ht="15.75" thickBot="1">
      <c r="A2876" s="3" t="s">
        <v>181</v>
      </c>
      <c r="B2876" s="103">
        <v>435</v>
      </c>
      <c r="C2876" s="105">
        <v>6</v>
      </c>
      <c r="D2876" s="106">
        <v>1.38E-2</v>
      </c>
      <c r="E2876" s="106"/>
      <c r="F2876" s="124">
        <v>0.21149999999999999</v>
      </c>
      <c r="G2876" s="50">
        <v>429</v>
      </c>
      <c r="H2876" s="68">
        <v>0.98619999999999997</v>
      </c>
      <c r="I2876" s="64"/>
      <c r="J2876" s="125">
        <v>0.78849999999999998</v>
      </c>
    </row>
    <row r="2877" spans="1:10" ht="17.25" thickTop="1" thickBot="1">
      <c r="A2877" s="34" t="s">
        <v>175</v>
      </c>
      <c r="B2877" s="126">
        <f>SUM(B2872:B2876)</f>
        <v>557973</v>
      </c>
      <c r="C2877" s="74">
        <f>SUM(C2872:C2876)</f>
        <v>2275</v>
      </c>
      <c r="D2877" s="107">
        <v>4.1000000000000003E-3</v>
      </c>
      <c r="E2877" s="107"/>
      <c r="F2877" s="75">
        <v>0.30349999999999999</v>
      </c>
      <c r="G2877" s="74">
        <f>SUM(G2872:G2876)</f>
        <v>555698</v>
      </c>
      <c r="H2877" s="75">
        <v>0.99590000000000001</v>
      </c>
      <c r="I2877" s="75"/>
      <c r="J2877" s="76">
        <v>0.69650000000000001</v>
      </c>
    </row>
    <row r="2878" spans="1:10" ht="16.5" thickBot="1">
      <c r="A2878" s="22"/>
      <c r="B2878" s="111" t="s">
        <v>249</v>
      </c>
      <c r="C2878" s="22"/>
      <c r="D2878" s="22"/>
      <c r="E2878" s="22"/>
      <c r="F2878" s="22"/>
      <c r="G2878" s="22"/>
      <c r="H2878" s="22"/>
      <c r="I2878" s="22"/>
      <c r="J2878" s="112"/>
    </row>
    <row r="2879" spans="1:10" ht="17.25" thickTop="1" thickBot="1">
      <c r="A2879" s="1" t="s">
        <v>297</v>
      </c>
      <c r="B2879" s="97"/>
      <c r="C2879" s="113" t="s">
        <v>179</v>
      </c>
      <c r="D2879" s="114"/>
      <c r="E2879" s="114"/>
      <c r="F2879" s="115"/>
      <c r="G2879" s="114" t="s">
        <v>180</v>
      </c>
      <c r="H2879" s="114"/>
      <c r="I2879" s="114"/>
      <c r="J2879" s="115"/>
    </row>
    <row r="2880" spans="1:10" ht="15.75" thickTop="1">
      <c r="B2880" s="42" t="s">
        <v>4</v>
      </c>
      <c r="C2880" s="43" t="s">
        <v>5</v>
      </c>
      <c r="D2880" s="44"/>
      <c r="E2880" s="44"/>
      <c r="F2880" s="116" t="s">
        <v>6</v>
      </c>
      <c r="G2880" s="43" t="s">
        <v>7</v>
      </c>
      <c r="H2880" s="46"/>
      <c r="I2880" s="46"/>
      <c r="J2880" s="117" t="s">
        <v>6</v>
      </c>
    </row>
    <row r="2881" spans="1:10" ht="15.75" thickBot="1">
      <c r="B2881" s="49" t="s">
        <v>8</v>
      </c>
      <c r="C2881" s="50" t="s">
        <v>8</v>
      </c>
      <c r="D2881" s="51" t="s">
        <v>9</v>
      </c>
      <c r="E2881" s="51"/>
      <c r="F2881" s="118" t="s">
        <v>9</v>
      </c>
      <c r="G2881" s="53" t="s">
        <v>8</v>
      </c>
      <c r="H2881" s="54" t="s">
        <v>9</v>
      </c>
      <c r="I2881" s="54"/>
      <c r="J2881" s="119" t="s">
        <v>9</v>
      </c>
    </row>
    <row r="2882" spans="1:10" ht="15.75" thickTop="1">
      <c r="C2882" s="43"/>
      <c r="F2882" s="120"/>
      <c r="G2882" s="57"/>
      <c r="J2882" s="121"/>
    </row>
    <row r="2883" spans="1:10">
      <c r="A2883" s="3" t="s">
        <v>10</v>
      </c>
      <c r="B2883" s="103">
        <v>498133</v>
      </c>
      <c r="C2883" s="57">
        <v>5</v>
      </c>
      <c r="D2883" s="61">
        <v>0</v>
      </c>
      <c r="E2883" s="61"/>
      <c r="F2883" s="122">
        <v>0</v>
      </c>
      <c r="G2883" s="62">
        <v>498128</v>
      </c>
      <c r="H2883" s="64">
        <v>1</v>
      </c>
      <c r="I2883" s="64"/>
      <c r="J2883" s="123">
        <v>1</v>
      </c>
    </row>
    <row r="2884" spans="1:10">
      <c r="A2884" s="3" t="s">
        <v>11</v>
      </c>
      <c r="B2884" s="103">
        <v>47467</v>
      </c>
      <c r="C2884" s="57">
        <v>102</v>
      </c>
      <c r="D2884" s="61">
        <v>2.0999999999999999E-3</v>
      </c>
      <c r="E2884" s="61"/>
      <c r="F2884" s="122">
        <v>4.7000000000000002E-3</v>
      </c>
      <c r="G2884" s="62">
        <v>47365</v>
      </c>
      <c r="H2884" s="64">
        <v>0.99790000000000001</v>
      </c>
      <c r="I2884" s="64"/>
      <c r="J2884" s="123">
        <v>0.99529999999999996</v>
      </c>
    </row>
    <row r="2885" spans="1:10">
      <c r="A2885" s="3" t="s">
        <v>12</v>
      </c>
      <c r="B2885" s="103">
        <v>10808</v>
      </c>
      <c r="C2885" s="62">
        <v>2038</v>
      </c>
      <c r="D2885" s="61">
        <v>0.18859999999999999</v>
      </c>
      <c r="E2885" s="61"/>
      <c r="F2885" s="122">
        <v>0.27479999999999999</v>
      </c>
      <c r="G2885" s="62">
        <v>8770</v>
      </c>
      <c r="H2885" s="64">
        <v>0.81140000000000001</v>
      </c>
      <c r="I2885" s="64"/>
      <c r="J2885" s="123">
        <v>0.72519999999999996</v>
      </c>
    </row>
    <row r="2886" spans="1:10">
      <c r="A2886" s="3" t="s">
        <v>13</v>
      </c>
      <c r="B2886" s="103">
        <v>417</v>
      </c>
      <c r="C2886" s="57">
        <v>176</v>
      </c>
      <c r="D2886" s="61">
        <v>0.42209999999999998</v>
      </c>
      <c r="E2886" s="61"/>
      <c r="F2886" s="122">
        <v>0.73209999999999997</v>
      </c>
      <c r="G2886" s="57">
        <v>241</v>
      </c>
      <c r="H2886" s="64">
        <v>0.57789999999999997</v>
      </c>
      <c r="I2886" s="64"/>
      <c r="J2886" s="123">
        <v>0.26790000000000003</v>
      </c>
    </row>
    <row r="2887" spans="1:10" ht="15.75" thickBot="1">
      <c r="A2887" s="3" t="s">
        <v>181</v>
      </c>
      <c r="B2887" s="103">
        <v>436</v>
      </c>
      <c r="C2887" s="105">
        <v>6</v>
      </c>
      <c r="D2887" s="106">
        <v>1.38E-2</v>
      </c>
      <c r="E2887" s="106"/>
      <c r="F2887" s="124">
        <v>0.21790000000000001</v>
      </c>
      <c r="G2887" s="50">
        <v>430</v>
      </c>
      <c r="H2887" s="68">
        <v>0.98619999999999997</v>
      </c>
      <c r="I2887" s="64"/>
      <c r="J2887" s="125">
        <v>0.78210000000000002</v>
      </c>
    </row>
    <row r="2888" spans="1:10" ht="17.25" thickTop="1" thickBot="1">
      <c r="A2888" s="34" t="s">
        <v>175</v>
      </c>
      <c r="B2888" s="126">
        <f>SUM(B2883:B2887)</f>
        <v>557261</v>
      </c>
      <c r="C2888" s="74">
        <f>SUM(C2883:C2887)</f>
        <v>2327</v>
      </c>
      <c r="D2888" s="107">
        <v>4.1999999999999997E-3</v>
      </c>
      <c r="E2888" s="107"/>
      <c r="F2888" s="75">
        <v>0.28510000000000002</v>
      </c>
      <c r="G2888" s="74">
        <f>SUM(G2883:G2887)</f>
        <v>554934</v>
      </c>
      <c r="H2888" s="75">
        <v>0.99580000000000002</v>
      </c>
      <c r="I2888" s="75"/>
      <c r="J2888" s="76">
        <v>0.71489999999999998</v>
      </c>
    </row>
    <row r="2889" spans="1:10" ht="16.5" thickBot="1">
      <c r="A2889" s="22"/>
      <c r="B2889" s="111" t="s">
        <v>249</v>
      </c>
      <c r="C2889" s="22"/>
      <c r="D2889" s="22"/>
      <c r="E2889" s="22"/>
      <c r="F2889" s="22"/>
      <c r="G2889" s="22"/>
      <c r="H2889" s="22"/>
      <c r="I2889" s="22"/>
      <c r="J2889" s="112"/>
    </row>
    <row r="2890" spans="1:10" ht="17.25" thickTop="1" thickBot="1">
      <c r="A2890" s="1" t="s">
        <v>298</v>
      </c>
      <c r="B2890" s="97"/>
      <c r="C2890" s="113" t="s">
        <v>179</v>
      </c>
      <c r="D2890" s="114"/>
      <c r="E2890" s="114"/>
      <c r="F2890" s="115"/>
      <c r="G2890" s="114" t="s">
        <v>180</v>
      </c>
      <c r="H2890" s="114"/>
      <c r="I2890" s="114"/>
      <c r="J2890" s="115"/>
    </row>
    <row r="2891" spans="1:10" ht="15.75" thickTop="1">
      <c r="B2891" s="42" t="s">
        <v>4</v>
      </c>
      <c r="C2891" s="43" t="s">
        <v>5</v>
      </c>
      <c r="D2891" s="44"/>
      <c r="E2891" s="44"/>
      <c r="F2891" s="116" t="s">
        <v>6</v>
      </c>
      <c r="G2891" s="43" t="s">
        <v>7</v>
      </c>
      <c r="H2891" s="46"/>
      <c r="I2891" s="46"/>
      <c r="J2891" s="117" t="s">
        <v>6</v>
      </c>
    </row>
    <row r="2892" spans="1:10" ht="15.75" thickBot="1">
      <c r="B2892" s="49" t="s">
        <v>8</v>
      </c>
      <c r="C2892" s="50" t="s">
        <v>8</v>
      </c>
      <c r="D2892" s="51" t="s">
        <v>9</v>
      </c>
      <c r="E2892" s="51"/>
      <c r="F2892" s="118" t="s">
        <v>9</v>
      </c>
      <c r="G2892" s="53" t="s">
        <v>8</v>
      </c>
      <c r="H2892" s="54" t="s">
        <v>9</v>
      </c>
      <c r="I2892" s="54"/>
      <c r="J2892" s="119" t="s">
        <v>9</v>
      </c>
    </row>
    <row r="2893" spans="1:10" ht="15.75" thickTop="1">
      <c r="C2893" s="43"/>
      <c r="F2893" s="120"/>
      <c r="G2893" s="57"/>
      <c r="J2893" s="121"/>
    </row>
    <row r="2894" spans="1:10">
      <c r="A2894" s="3" t="s">
        <v>10</v>
      </c>
      <c r="B2894" s="103">
        <v>497282</v>
      </c>
      <c r="C2894" s="57">
        <v>6</v>
      </c>
      <c r="D2894" s="61">
        <v>0</v>
      </c>
      <c r="E2894" s="61"/>
      <c r="F2894" s="122">
        <v>0</v>
      </c>
      <c r="G2894" s="62">
        <v>497276</v>
      </c>
      <c r="H2894" s="64">
        <v>1</v>
      </c>
      <c r="I2894" s="64"/>
      <c r="J2894" s="123">
        <v>1</v>
      </c>
    </row>
    <row r="2895" spans="1:10">
      <c r="A2895" s="3" t="s">
        <v>11</v>
      </c>
      <c r="B2895" s="103">
        <v>47440</v>
      </c>
      <c r="C2895" s="57">
        <v>107</v>
      </c>
      <c r="D2895" s="61">
        <v>2.3E-3</v>
      </c>
      <c r="E2895" s="61"/>
      <c r="F2895" s="122">
        <v>4.4000000000000003E-3</v>
      </c>
      <c r="G2895" s="62">
        <v>47333</v>
      </c>
      <c r="H2895" s="64">
        <v>0.99770000000000003</v>
      </c>
      <c r="I2895" s="64"/>
      <c r="J2895" s="123">
        <v>0.99560000000000004</v>
      </c>
    </row>
    <row r="2896" spans="1:10">
      <c r="A2896" s="3" t="s">
        <v>12</v>
      </c>
      <c r="B2896" s="103">
        <v>10799</v>
      </c>
      <c r="C2896" s="62">
        <v>2176</v>
      </c>
      <c r="D2896" s="61">
        <v>0.20150000000000001</v>
      </c>
      <c r="E2896" s="61"/>
      <c r="F2896" s="122">
        <v>0.29480000000000001</v>
      </c>
      <c r="G2896" s="62">
        <v>8623</v>
      </c>
      <c r="H2896" s="64">
        <v>0.79849999999999999</v>
      </c>
      <c r="I2896" s="64"/>
      <c r="J2896" s="123">
        <v>0.70520000000000005</v>
      </c>
    </row>
    <row r="2897" spans="1:10">
      <c r="A2897" s="3" t="s">
        <v>13</v>
      </c>
      <c r="B2897" s="103">
        <v>405</v>
      </c>
      <c r="C2897" s="57">
        <v>172</v>
      </c>
      <c r="D2897" s="61">
        <v>0.42470000000000002</v>
      </c>
      <c r="E2897" s="61"/>
      <c r="F2897" s="122">
        <v>0.72030000000000005</v>
      </c>
      <c r="G2897" s="57">
        <v>233</v>
      </c>
      <c r="H2897" s="64">
        <v>0.57530000000000003</v>
      </c>
      <c r="I2897" s="64"/>
      <c r="J2897" s="123">
        <v>0.2797</v>
      </c>
    </row>
    <row r="2898" spans="1:10" ht="15.75" thickBot="1">
      <c r="A2898" s="3" t="s">
        <v>181</v>
      </c>
      <c r="B2898" s="103">
        <v>433</v>
      </c>
      <c r="C2898" s="105">
        <v>6</v>
      </c>
      <c r="D2898" s="106">
        <v>1.3899999999999999E-2</v>
      </c>
      <c r="E2898" s="106"/>
      <c r="F2898" s="124">
        <v>0.2213</v>
      </c>
      <c r="G2898" s="50">
        <v>427</v>
      </c>
      <c r="H2898" s="68">
        <v>0.98609999999999998</v>
      </c>
      <c r="I2898" s="64"/>
      <c r="J2898" s="125">
        <v>0.77869999999999995</v>
      </c>
    </row>
    <row r="2899" spans="1:10" ht="17.25" thickTop="1" thickBot="1">
      <c r="A2899" s="34" t="s">
        <v>175</v>
      </c>
      <c r="B2899" s="126">
        <f>SUM(B2894:B2898)</f>
        <v>556359</v>
      </c>
      <c r="C2899" s="74">
        <f>SUM(C2894:C2898)</f>
        <v>2467</v>
      </c>
      <c r="D2899" s="107">
        <v>4.4000000000000003E-3</v>
      </c>
      <c r="E2899" s="107"/>
      <c r="F2899" s="75">
        <v>0.29199999999999998</v>
      </c>
      <c r="G2899" s="74">
        <f>SUM(G2894:G2898)</f>
        <v>553892</v>
      </c>
      <c r="H2899" s="75">
        <v>0.99560000000000004</v>
      </c>
      <c r="I2899" s="75"/>
      <c r="J2899" s="76">
        <v>0.70799999999999996</v>
      </c>
    </row>
    <row r="2900" spans="1:10" ht="16.5" thickBot="1">
      <c r="A2900" s="22"/>
      <c r="B2900" s="111" t="s">
        <v>249</v>
      </c>
      <c r="C2900" s="22"/>
      <c r="D2900" s="22"/>
      <c r="E2900" s="22"/>
      <c r="F2900" s="22"/>
      <c r="G2900" s="22"/>
      <c r="H2900" s="22"/>
      <c r="I2900" s="22"/>
      <c r="J2900" s="112"/>
    </row>
    <row r="2901" spans="1:10" ht="17.25" thickTop="1" thickBot="1">
      <c r="A2901" s="1" t="s">
        <v>299</v>
      </c>
      <c r="B2901" s="97"/>
      <c r="C2901" s="113" t="s">
        <v>179</v>
      </c>
      <c r="D2901" s="114"/>
      <c r="E2901" s="114"/>
      <c r="F2901" s="115"/>
      <c r="G2901" s="114" t="s">
        <v>180</v>
      </c>
      <c r="H2901" s="114"/>
      <c r="I2901" s="114"/>
      <c r="J2901" s="115"/>
    </row>
    <row r="2902" spans="1:10" ht="15.75" thickTop="1">
      <c r="B2902" s="42" t="s">
        <v>4</v>
      </c>
      <c r="C2902" s="43" t="s">
        <v>5</v>
      </c>
      <c r="D2902" s="44"/>
      <c r="E2902" s="44"/>
      <c r="F2902" s="116" t="s">
        <v>6</v>
      </c>
      <c r="G2902" s="43" t="s">
        <v>7</v>
      </c>
      <c r="H2902" s="46"/>
      <c r="I2902" s="46"/>
      <c r="J2902" s="117" t="s">
        <v>6</v>
      </c>
    </row>
    <row r="2903" spans="1:10" ht="15.75" thickBot="1">
      <c r="B2903" s="49" t="s">
        <v>8</v>
      </c>
      <c r="C2903" s="50" t="s">
        <v>8</v>
      </c>
      <c r="D2903" s="51" t="s">
        <v>9</v>
      </c>
      <c r="E2903" s="51"/>
      <c r="F2903" s="118" t="s">
        <v>9</v>
      </c>
      <c r="G2903" s="53" t="s">
        <v>8</v>
      </c>
      <c r="H2903" s="54" t="s">
        <v>9</v>
      </c>
      <c r="I2903" s="54"/>
      <c r="J2903" s="119" t="s">
        <v>9</v>
      </c>
    </row>
    <row r="2904" spans="1:10" ht="15.75" thickTop="1">
      <c r="C2904" s="43"/>
      <c r="F2904" s="120"/>
      <c r="G2904" s="57"/>
      <c r="J2904" s="121"/>
    </row>
    <row r="2905" spans="1:10">
      <c r="A2905" s="3" t="s">
        <v>10</v>
      </c>
      <c r="B2905" s="103">
        <v>496354</v>
      </c>
      <c r="C2905" s="57">
        <v>6</v>
      </c>
      <c r="D2905" s="61">
        <v>0</v>
      </c>
      <c r="E2905" s="61"/>
      <c r="F2905" s="122">
        <v>0</v>
      </c>
      <c r="G2905" s="62">
        <v>496348</v>
      </c>
      <c r="H2905" s="64">
        <v>1</v>
      </c>
      <c r="I2905" s="64"/>
      <c r="J2905" s="123">
        <v>1</v>
      </c>
    </row>
    <row r="2906" spans="1:10">
      <c r="A2906" s="3" t="s">
        <v>11</v>
      </c>
      <c r="B2906" s="103">
        <v>47498</v>
      </c>
      <c r="C2906" s="57">
        <v>106</v>
      </c>
      <c r="D2906" s="61">
        <v>2.2000000000000001E-3</v>
      </c>
      <c r="E2906" s="61"/>
      <c r="F2906" s="122">
        <v>4.1999999999999997E-3</v>
      </c>
      <c r="G2906" s="62">
        <v>47392</v>
      </c>
      <c r="H2906" s="64">
        <v>0.99780000000000002</v>
      </c>
      <c r="I2906" s="64"/>
      <c r="J2906" s="123">
        <v>0.99580000000000002</v>
      </c>
    </row>
    <row r="2907" spans="1:10">
      <c r="A2907" s="3" t="s">
        <v>12</v>
      </c>
      <c r="B2907" s="103">
        <v>10682</v>
      </c>
      <c r="C2907" s="62">
        <v>2163</v>
      </c>
      <c r="D2907" s="61">
        <v>0.20250000000000001</v>
      </c>
      <c r="E2907" s="61"/>
      <c r="F2907" s="122">
        <v>0.29099999999999998</v>
      </c>
      <c r="G2907" s="62">
        <v>8519</v>
      </c>
      <c r="H2907" s="64">
        <v>0.79749999999999999</v>
      </c>
      <c r="I2907" s="64"/>
      <c r="J2907" s="123">
        <v>0.70899999999999996</v>
      </c>
    </row>
    <row r="2908" spans="1:10">
      <c r="A2908" s="3" t="s">
        <v>13</v>
      </c>
      <c r="B2908" s="103">
        <v>405</v>
      </c>
      <c r="C2908" s="57">
        <v>169</v>
      </c>
      <c r="D2908" s="61">
        <v>0.4173</v>
      </c>
      <c r="E2908" s="61"/>
      <c r="F2908" s="122">
        <v>0.76139999999999997</v>
      </c>
      <c r="G2908" s="57">
        <v>236</v>
      </c>
      <c r="H2908" s="64">
        <v>0.5827</v>
      </c>
      <c r="I2908" s="64"/>
      <c r="J2908" s="123">
        <v>0.23860000000000001</v>
      </c>
    </row>
    <row r="2909" spans="1:10" ht="15.75" thickBot="1">
      <c r="A2909" s="3" t="s">
        <v>181</v>
      </c>
      <c r="B2909" s="103">
        <v>433</v>
      </c>
      <c r="C2909" s="105">
        <v>6</v>
      </c>
      <c r="D2909" s="106">
        <v>1.3899999999999999E-2</v>
      </c>
      <c r="E2909" s="106"/>
      <c r="F2909" s="124">
        <v>0.2109</v>
      </c>
      <c r="G2909" s="50">
        <v>427</v>
      </c>
      <c r="H2909" s="68">
        <v>0.98609999999999998</v>
      </c>
      <c r="I2909" s="64"/>
      <c r="J2909" s="125">
        <v>0.78910000000000002</v>
      </c>
    </row>
    <row r="2910" spans="1:10" ht="17.25" thickTop="1" thickBot="1">
      <c r="A2910" s="34" t="s">
        <v>175</v>
      </c>
      <c r="B2910" s="126">
        <f>SUM(B2905:B2909)</f>
        <v>555372</v>
      </c>
      <c r="C2910" s="74">
        <f>SUM(C2905:C2909)</f>
        <v>2450</v>
      </c>
      <c r="D2910" s="107">
        <v>4.4000000000000003E-3</v>
      </c>
      <c r="E2910" s="107"/>
      <c r="F2910" s="75">
        <v>0.33739999999999998</v>
      </c>
      <c r="G2910" s="74">
        <f>SUM(G2905:G2909)</f>
        <v>552922</v>
      </c>
      <c r="H2910" s="75">
        <v>0.99560000000000004</v>
      </c>
      <c r="I2910" s="75"/>
      <c r="J2910" s="76">
        <v>0.66259999999999997</v>
      </c>
    </row>
    <row r="2911" spans="1:10" ht="16.5" thickBot="1">
      <c r="A2911" s="22"/>
      <c r="B2911" s="111" t="s">
        <v>249</v>
      </c>
      <c r="C2911" s="22"/>
      <c r="D2911" s="22"/>
      <c r="E2911" s="22"/>
      <c r="F2911" s="22"/>
      <c r="G2911" s="22"/>
      <c r="H2911" s="22"/>
      <c r="I2911" s="22"/>
      <c r="J2911" s="112"/>
    </row>
    <row r="2912" spans="1:10" ht="17.25" thickTop="1" thickBot="1">
      <c r="A2912" s="1" t="s">
        <v>300</v>
      </c>
      <c r="B2912" s="97"/>
      <c r="C2912" s="113" t="s">
        <v>179</v>
      </c>
      <c r="D2912" s="114"/>
      <c r="E2912" s="114"/>
      <c r="F2912" s="115"/>
      <c r="G2912" s="114" t="s">
        <v>180</v>
      </c>
      <c r="H2912" s="114"/>
      <c r="I2912" s="114"/>
      <c r="J2912" s="115"/>
    </row>
    <row r="2913" spans="1:10" ht="15.75" thickTop="1">
      <c r="B2913" s="42" t="s">
        <v>4</v>
      </c>
      <c r="C2913" s="43" t="s">
        <v>5</v>
      </c>
      <c r="D2913" s="44"/>
      <c r="E2913" s="44"/>
      <c r="F2913" s="116" t="s">
        <v>6</v>
      </c>
      <c r="G2913" s="43" t="s">
        <v>7</v>
      </c>
      <c r="H2913" s="46"/>
      <c r="I2913" s="46"/>
      <c r="J2913" s="117" t="s">
        <v>6</v>
      </c>
    </row>
    <row r="2914" spans="1:10" ht="15.75" thickBot="1">
      <c r="B2914" s="49" t="s">
        <v>8</v>
      </c>
      <c r="C2914" s="50" t="s">
        <v>8</v>
      </c>
      <c r="D2914" s="51" t="s">
        <v>9</v>
      </c>
      <c r="E2914" s="51"/>
      <c r="F2914" s="118" t="s">
        <v>9</v>
      </c>
      <c r="G2914" s="53" t="s">
        <v>8</v>
      </c>
      <c r="H2914" s="54" t="s">
        <v>9</v>
      </c>
      <c r="I2914" s="54"/>
      <c r="J2914" s="119" t="s">
        <v>9</v>
      </c>
    </row>
    <row r="2915" spans="1:10" ht="15.75" thickTop="1">
      <c r="C2915" s="43"/>
      <c r="F2915" s="120"/>
      <c r="G2915" s="57"/>
      <c r="J2915" s="121"/>
    </row>
    <row r="2916" spans="1:10">
      <c r="A2916" s="3" t="s">
        <v>10</v>
      </c>
      <c r="B2916" s="103">
        <v>495390</v>
      </c>
      <c r="C2916" s="57">
        <v>6</v>
      </c>
      <c r="D2916" s="61">
        <v>0</v>
      </c>
      <c r="E2916" s="61"/>
      <c r="F2916" s="122">
        <v>0</v>
      </c>
      <c r="G2916" s="62">
        <v>495384</v>
      </c>
      <c r="H2916" s="64">
        <v>1</v>
      </c>
      <c r="I2916" s="64"/>
      <c r="J2916" s="123">
        <v>1</v>
      </c>
    </row>
    <row r="2917" spans="1:10">
      <c r="A2917" s="3" t="s">
        <v>11</v>
      </c>
      <c r="B2917" s="103">
        <v>47669</v>
      </c>
      <c r="C2917" s="57">
        <v>106</v>
      </c>
      <c r="D2917" s="61">
        <v>2.2000000000000001E-3</v>
      </c>
      <c r="E2917" s="61"/>
      <c r="F2917" s="122">
        <v>3.5999999999999999E-3</v>
      </c>
      <c r="G2917" s="62">
        <v>47563</v>
      </c>
      <c r="H2917" s="64">
        <v>0.99780000000000002</v>
      </c>
      <c r="I2917" s="64"/>
      <c r="J2917" s="123">
        <v>0.99639999999999995</v>
      </c>
    </row>
    <row r="2918" spans="1:10">
      <c r="A2918" s="3" t="s">
        <v>12</v>
      </c>
      <c r="B2918" s="103">
        <v>10628</v>
      </c>
      <c r="C2918" s="62">
        <v>2175</v>
      </c>
      <c r="D2918" s="61">
        <v>0.2046</v>
      </c>
      <c r="E2918" s="61"/>
      <c r="F2918" s="122">
        <v>0.2984</v>
      </c>
      <c r="G2918" s="62">
        <v>8453</v>
      </c>
      <c r="H2918" s="64">
        <v>0.7954</v>
      </c>
      <c r="I2918" s="64"/>
      <c r="J2918" s="123">
        <v>0.7016</v>
      </c>
    </row>
    <row r="2919" spans="1:10">
      <c r="A2919" s="3" t="s">
        <v>13</v>
      </c>
      <c r="B2919" s="103">
        <v>403</v>
      </c>
      <c r="C2919" s="57">
        <v>175</v>
      </c>
      <c r="D2919" s="61">
        <v>0.43419999999999997</v>
      </c>
      <c r="E2919" s="61"/>
      <c r="F2919" s="122">
        <v>0.79579999999999995</v>
      </c>
      <c r="G2919" s="57">
        <v>228</v>
      </c>
      <c r="H2919" s="64">
        <v>0.56579999999999997</v>
      </c>
      <c r="I2919" s="64"/>
      <c r="J2919" s="123">
        <v>0.20419999999999999</v>
      </c>
    </row>
    <row r="2920" spans="1:10" ht="15.75" thickBot="1">
      <c r="A2920" s="3" t="s">
        <v>181</v>
      </c>
      <c r="B2920" s="103">
        <v>433</v>
      </c>
      <c r="C2920" s="105">
        <v>6</v>
      </c>
      <c r="D2920" s="106">
        <v>1.3899999999999999E-2</v>
      </c>
      <c r="E2920" s="106"/>
      <c r="F2920" s="124">
        <v>0.21529999999999999</v>
      </c>
      <c r="G2920" s="50">
        <v>427</v>
      </c>
      <c r="H2920" s="68">
        <v>0.98609999999999998</v>
      </c>
      <c r="I2920" s="64"/>
      <c r="J2920" s="125">
        <v>0.78469999999999995</v>
      </c>
    </row>
    <row r="2921" spans="1:10" ht="17.25" thickTop="1" thickBot="1">
      <c r="A2921" s="34" t="s">
        <v>175</v>
      </c>
      <c r="B2921" s="126">
        <f>SUM(B2916:B2920)</f>
        <v>554523</v>
      </c>
      <c r="C2921" s="74">
        <f>SUM(C2916:C2920)</f>
        <v>2468</v>
      </c>
      <c r="D2921" s="107">
        <v>4.4999999999999997E-3</v>
      </c>
      <c r="E2921" s="107"/>
      <c r="F2921" s="75">
        <v>0.36709999999999998</v>
      </c>
      <c r="G2921" s="74">
        <f>SUM(G2916:G2920)</f>
        <v>552055</v>
      </c>
      <c r="H2921" s="75">
        <v>0.99550000000000005</v>
      </c>
      <c r="I2921" s="75"/>
      <c r="J2921" s="76">
        <v>0.63290000000000002</v>
      </c>
    </row>
    <row r="2922" spans="1:10" ht="16.5" thickBot="1">
      <c r="A2922" s="22"/>
      <c r="B2922" s="111" t="s">
        <v>249</v>
      </c>
      <c r="C2922" s="22"/>
      <c r="D2922" s="22"/>
      <c r="E2922" s="22"/>
      <c r="F2922" s="22"/>
      <c r="G2922" s="22"/>
      <c r="H2922" s="22"/>
      <c r="I2922" s="22"/>
      <c r="J2922" s="112"/>
    </row>
    <row r="2923" spans="1:10" ht="17.25" thickTop="1" thickBot="1">
      <c r="A2923" s="1" t="s">
        <v>301</v>
      </c>
      <c r="B2923" s="97"/>
      <c r="C2923" s="113" t="s">
        <v>179</v>
      </c>
      <c r="D2923" s="114"/>
      <c r="E2923" s="114"/>
      <c r="F2923" s="115"/>
      <c r="G2923" s="114" t="s">
        <v>180</v>
      </c>
      <c r="H2923" s="114"/>
      <c r="I2923" s="114"/>
      <c r="J2923" s="115"/>
    </row>
    <row r="2924" spans="1:10" ht="15.75" thickTop="1">
      <c r="B2924" s="42" t="s">
        <v>4</v>
      </c>
      <c r="C2924" s="43" t="s">
        <v>5</v>
      </c>
      <c r="D2924" s="44"/>
      <c r="E2924" s="44"/>
      <c r="F2924" s="116" t="s">
        <v>6</v>
      </c>
      <c r="G2924" s="43" t="s">
        <v>7</v>
      </c>
      <c r="H2924" s="46"/>
      <c r="I2924" s="46"/>
      <c r="J2924" s="117" t="s">
        <v>6</v>
      </c>
    </row>
    <row r="2925" spans="1:10" ht="15.75" thickBot="1">
      <c r="B2925" s="49" t="s">
        <v>8</v>
      </c>
      <c r="C2925" s="50" t="s">
        <v>8</v>
      </c>
      <c r="D2925" s="51" t="s">
        <v>9</v>
      </c>
      <c r="E2925" s="51"/>
      <c r="F2925" s="118" t="s">
        <v>9</v>
      </c>
      <c r="G2925" s="53" t="s">
        <v>8</v>
      </c>
      <c r="H2925" s="54" t="s">
        <v>9</v>
      </c>
      <c r="I2925" s="54"/>
      <c r="J2925" s="119" t="s">
        <v>9</v>
      </c>
    </row>
    <row r="2926" spans="1:10" ht="15.75" thickTop="1">
      <c r="C2926" s="43"/>
      <c r="F2926" s="120"/>
      <c r="G2926" s="57"/>
      <c r="J2926" s="121"/>
    </row>
    <row r="2927" spans="1:10">
      <c r="A2927" s="3" t="s">
        <v>10</v>
      </c>
      <c r="B2927" s="103">
        <v>494815</v>
      </c>
      <c r="C2927" s="57">
        <v>6</v>
      </c>
      <c r="D2927" s="61">
        <v>0</v>
      </c>
      <c r="E2927" s="61"/>
      <c r="F2927" s="122">
        <v>0</v>
      </c>
      <c r="G2927" s="62">
        <v>494809</v>
      </c>
      <c r="H2927" s="64">
        <v>1</v>
      </c>
      <c r="I2927" s="64"/>
      <c r="J2927" s="123">
        <v>1</v>
      </c>
    </row>
    <row r="2928" spans="1:10">
      <c r="A2928" s="3" t="s">
        <v>11</v>
      </c>
      <c r="B2928" s="103">
        <v>47789</v>
      </c>
      <c r="C2928" s="57">
        <v>108</v>
      </c>
      <c r="D2928" s="61">
        <v>2.3E-3</v>
      </c>
      <c r="E2928" s="61"/>
      <c r="F2928" s="122">
        <v>3.8E-3</v>
      </c>
      <c r="G2928" s="62">
        <v>47681</v>
      </c>
      <c r="H2928" s="64">
        <v>0.99770000000000003</v>
      </c>
      <c r="I2928" s="64"/>
      <c r="J2928" s="123">
        <v>0.99619999999999997</v>
      </c>
    </row>
    <row r="2929" spans="1:10">
      <c r="A2929" s="3" t="s">
        <v>12</v>
      </c>
      <c r="B2929" s="103">
        <v>10504</v>
      </c>
      <c r="C2929" s="62">
        <v>2166</v>
      </c>
      <c r="D2929" s="61">
        <v>0.20619999999999999</v>
      </c>
      <c r="E2929" s="61"/>
      <c r="F2929" s="122">
        <v>0.3034</v>
      </c>
      <c r="G2929" s="62">
        <v>8338</v>
      </c>
      <c r="H2929" s="64">
        <v>0.79379999999999995</v>
      </c>
      <c r="I2929" s="64"/>
      <c r="J2929" s="123">
        <v>0.6966</v>
      </c>
    </row>
    <row r="2930" spans="1:10">
      <c r="A2930" s="3" t="s">
        <v>13</v>
      </c>
      <c r="B2930" s="103">
        <v>398</v>
      </c>
      <c r="C2930" s="57">
        <v>186</v>
      </c>
      <c r="D2930" s="61">
        <v>0.46729999999999999</v>
      </c>
      <c r="E2930" s="61"/>
      <c r="F2930" s="122">
        <v>0.79749999999999999</v>
      </c>
      <c r="G2930" s="57">
        <v>212</v>
      </c>
      <c r="H2930" s="64">
        <v>0.53269999999999995</v>
      </c>
      <c r="I2930" s="64"/>
      <c r="J2930" s="123">
        <v>0.20250000000000001</v>
      </c>
    </row>
    <row r="2931" spans="1:10" ht="15.75" thickBot="1">
      <c r="A2931" s="3" t="s">
        <v>181</v>
      </c>
      <c r="B2931" s="103">
        <v>432</v>
      </c>
      <c r="C2931" s="105">
        <v>6</v>
      </c>
      <c r="D2931" s="106">
        <v>1.3899999999999999E-2</v>
      </c>
      <c r="E2931" s="106"/>
      <c r="F2931" s="124">
        <v>0.21609999999999999</v>
      </c>
      <c r="G2931" s="50">
        <v>426</v>
      </c>
      <c r="H2931" s="68">
        <v>0.98609999999999998</v>
      </c>
      <c r="I2931" s="64"/>
      <c r="J2931" s="125">
        <v>0.78390000000000004</v>
      </c>
    </row>
    <row r="2932" spans="1:10" ht="17.25" thickTop="1" thickBot="1">
      <c r="A2932" s="34" t="s">
        <v>175</v>
      </c>
      <c r="B2932" s="126">
        <f>SUM(B2927:B2931)</f>
        <v>553938</v>
      </c>
      <c r="C2932" s="74">
        <f>SUM(C2927:C2931)</f>
        <v>2472</v>
      </c>
      <c r="D2932" s="107">
        <v>4.4999999999999997E-3</v>
      </c>
      <c r="E2932" s="107"/>
      <c r="F2932" s="75">
        <v>0.36120000000000002</v>
      </c>
      <c r="G2932" s="74">
        <f>SUM(G2927:G2931)</f>
        <v>551466</v>
      </c>
      <c r="H2932" s="75">
        <v>0.99550000000000005</v>
      </c>
      <c r="I2932" s="75"/>
      <c r="J2932" s="76">
        <v>0.63880000000000003</v>
      </c>
    </row>
    <row r="2933" spans="1:10" ht="16.5" thickBot="1">
      <c r="A2933" s="22"/>
      <c r="B2933" s="111" t="s">
        <v>249</v>
      </c>
      <c r="C2933" s="22"/>
      <c r="D2933" s="22"/>
      <c r="E2933" s="22"/>
      <c r="F2933" s="22"/>
      <c r="G2933" s="22"/>
      <c r="H2933" s="22"/>
      <c r="I2933" s="22"/>
      <c r="J2933" s="112"/>
    </row>
    <row r="2934" spans="1:10" ht="17.25" thickTop="1" thickBot="1">
      <c r="A2934" s="1" t="s">
        <v>302</v>
      </c>
      <c r="B2934" s="97"/>
      <c r="C2934" s="113" t="s">
        <v>179</v>
      </c>
      <c r="D2934" s="114"/>
      <c r="E2934" s="114"/>
      <c r="F2934" s="115"/>
      <c r="G2934" s="114" t="s">
        <v>180</v>
      </c>
      <c r="H2934" s="114"/>
      <c r="I2934" s="114"/>
      <c r="J2934" s="115"/>
    </row>
    <row r="2935" spans="1:10" ht="15.75" thickTop="1">
      <c r="B2935" s="42" t="s">
        <v>4</v>
      </c>
      <c r="C2935" s="43" t="s">
        <v>5</v>
      </c>
      <c r="D2935" s="44"/>
      <c r="E2935" s="44"/>
      <c r="F2935" s="116" t="s">
        <v>6</v>
      </c>
      <c r="G2935" s="43" t="s">
        <v>7</v>
      </c>
      <c r="H2935" s="46"/>
      <c r="I2935" s="46"/>
      <c r="J2935" s="117" t="s">
        <v>6</v>
      </c>
    </row>
    <row r="2936" spans="1:10" ht="15.75" thickBot="1">
      <c r="B2936" s="49" t="s">
        <v>8</v>
      </c>
      <c r="C2936" s="50" t="s">
        <v>8</v>
      </c>
      <c r="D2936" s="51" t="s">
        <v>9</v>
      </c>
      <c r="E2936" s="51"/>
      <c r="F2936" s="118" t="s">
        <v>9</v>
      </c>
      <c r="G2936" s="53" t="s">
        <v>8</v>
      </c>
      <c r="H2936" s="54" t="s">
        <v>9</v>
      </c>
      <c r="I2936" s="54"/>
      <c r="J2936" s="119" t="s">
        <v>9</v>
      </c>
    </row>
    <row r="2937" spans="1:10" ht="15.75" thickTop="1">
      <c r="C2937" s="43"/>
      <c r="F2937" s="120"/>
      <c r="G2937" s="57"/>
      <c r="J2937" s="121"/>
    </row>
    <row r="2938" spans="1:10">
      <c r="A2938" s="3" t="s">
        <v>10</v>
      </c>
      <c r="B2938" s="103">
        <v>494111</v>
      </c>
      <c r="C2938" s="57">
        <v>6</v>
      </c>
      <c r="D2938" s="61">
        <v>0</v>
      </c>
      <c r="E2938" s="61"/>
      <c r="F2938" s="122">
        <v>0</v>
      </c>
      <c r="G2938" s="62">
        <v>494105</v>
      </c>
      <c r="H2938" s="64">
        <v>1</v>
      </c>
      <c r="I2938" s="64"/>
      <c r="J2938" s="123">
        <v>1</v>
      </c>
    </row>
    <row r="2939" spans="1:10">
      <c r="A2939" s="3" t="s">
        <v>11</v>
      </c>
      <c r="B2939" s="103">
        <v>47743</v>
      </c>
      <c r="C2939" s="57">
        <v>110</v>
      </c>
      <c r="D2939" s="61">
        <v>2.3E-3</v>
      </c>
      <c r="E2939" s="61"/>
      <c r="F2939" s="122">
        <v>4.3E-3</v>
      </c>
      <c r="G2939" s="62">
        <v>47633</v>
      </c>
      <c r="H2939" s="64">
        <v>0.99770000000000003</v>
      </c>
      <c r="I2939" s="64"/>
      <c r="J2939" s="123">
        <v>0.99570000000000003</v>
      </c>
    </row>
    <row r="2940" spans="1:10">
      <c r="A2940" s="3" t="s">
        <v>12</v>
      </c>
      <c r="B2940" s="103">
        <v>10499</v>
      </c>
      <c r="C2940" s="62">
        <v>2236</v>
      </c>
      <c r="D2940" s="61">
        <v>0.21299999999999999</v>
      </c>
      <c r="E2940" s="61"/>
      <c r="F2940" s="122">
        <v>0.3155</v>
      </c>
      <c r="G2940" s="62">
        <v>8263</v>
      </c>
      <c r="H2940" s="64">
        <v>0.78700000000000003</v>
      </c>
      <c r="I2940" s="64"/>
      <c r="J2940" s="123">
        <v>0.6845</v>
      </c>
    </row>
    <row r="2941" spans="1:10">
      <c r="A2941" s="3" t="s">
        <v>13</v>
      </c>
      <c r="B2941" s="103">
        <v>392</v>
      </c>
      <c r="C2941" s="57">
        <v>193</v>
      </c>
      <c r="D2941" s="61">
        <v>0.49230000000000002</v>
      </c>
      <c r="E2941" s="61"/>
      <c r="F2941" s="122">
        <v>0.79559999999999997</v>
      </c>
      <c r="G2941" s="57">
        <v>199</v>
      </c>
      <c r="H2941" s="64">
        <v>0.50770000000000004</v>
      </c>
      <c r="I2941" s="64"/>
      <c r="J2941" s="123">
        <v>0.2044</v>
      </c>
    </row>
    <row r="2942" spans="1:10" ht="15.75" thickBot="1">
      <c r="A2942" s="3" t="s">
        <v>181</v>
      </c>
      <c r="B2942" s="103">
        <v>432</v>
      </c>
      <c r="C2942" s="105">
        <v>6</v>
      </c>
      <c r="D2942" s="106">
        <v>1.3899999999999999E-2</v>
      </c>
      <c r="E2942" s="106"/>
      <c r="F2942" s="124">
        <v>0.23419999999999999</v>
      </c>
      <c r="G2942" s="50">
        <v>426</v>
      </c>
      <c r="H2942" s="68">
        <v>0.98609999999999998</v>
      </c>
      <c r="I2942" s="64"/>
      <c r="J2942" s="125">
        <v>0.76580000000000004</v>
      </c>
    </row>
    <row r="2943" spans="1:10" ht="17.25" thickTop="1" thickBot="1">
      <c r="A2943" s="34" t="s">
        <v>175</v>
      </c>
      <c r="B2943" s="126">
        <f>SUM(B2938:B2942)</f>
        <v>553177</v>
      </c>
      <c r="C2943" s="74">
        <f>SUM(C2938:C2942)</f>
        <v>2551</v>
      </c>
      <c r="D2943" s="107">
        <v>4.5999999999999999E-3</v>
      </c>
      <c r="E2943" s="107"/>
      <c r="F2943" s="75">
        <v>0.34460000000000002</v>
      </c>
      <c r="G2943" s="74">
        <f>SUM(G2938:G2942)</f>
        <v>550626</v>
      </c>
      <c r="H2943" s="75">
        <v>0.99539999999999995</v>
      </c>
      <c r="I2943" s="75"/>
      <c r="J2943" s="76">
        <v>0.65539999999999998</v>
      </c>
    </row>
    <row r="2944" spans="1:10" ht="16.5" thickBot="1">
      <c r="A2944" s="22"/>
      <c r="B2944" s="111" t="s">
        <v>249</v>
      </c>
      <c r="C2944" s="22"/>
      <c r="D2944" s="22"/>
      <c r="E2944" s="22"/>
      <c r="F2944" s="22"/>
      <c r="G2944" s="22"/>
      <c r="H2944" s="22"/>
      <c r="I2944" s="22"/>
      <c r="J2944" s="112"/>
    </row>
    <row r="2945" spans="1:10" ht="17.25" thickTop="1" thickBot="1">
      <c r="A2945" s="1" t="s">
        <v>303</v>
      </c>
      <c r="B2945" s="97"/>
      <c r="C2945" s="113" t="s">
        <v>179</v>
      </c>
      <c r="D2945" s="114"/>
      <c r="E2945" s="114"/>
      <c r="F2945" s="115"/>
      <c r="G2945" s="114" t="s">
        <v>180</v>
      </c>
      <c r="H2945" s="114"/>
      <c r="I2945" s="114"/>
      <c r="J2945" s="115"/>
    </row>
    <row r="2946" spans="1:10" ht="15.75" thickTop="1">
      <c r="B2946" s="42" t="s">
        <v>4</v>
      </c>
      <c r="C2946" s="43" t="s">
        <v>5</v>
      </c>
      <c r="D2946" s="44"/>
      <c r="E2946" s="44"/>
      <c r="F2946" s="116" t="s">
        <v>6</v>
      </c>
      <c r="G2946" s="43" t="s">
        <v>7</v>
      </c>
      <c r="H2946" s="46"/>
      <c r="I2946" s="46"/>
      <c r="J2946" s="117" t="s">
        <v>6</v>
      </c>
    </row>
    <row r="2947" spans="1:10" ht="15.75" thickBot="1">
      <c r="B2947" s="49" t="s">
        <v>8</v>
      </c>
      <c r="C2947" s="50" t="s">
        <v>8</v>
      </c>
      <c r="D2947" s="51" t="s">
        <v>9</v>
      </c>
      <c r="E2947" s="51"/>
      <c r="F2947" s="118" t="s">
        <v>9</v>
      </c>
      <c r="G2947" s="53" t="s">
        <v>8</v>
      </c>
      <c r="H2947" s="54" t="s">
        <v>9</v>
      </c>
      <c r="I2947" s="54"/>
      <c r="J2947" s="119" t="s">
        <v>9</v>
      </c>
    </row>
    <row r="2948" spans="1:10" ht="15.75" thickTop="1">
      <c r="C2948" s="43"/>
      <c r="F2948" s="120"/>
      <c r="G2948" s="57"/>
      <c r="J2948" s="121"/>
    </row>
    <row r="2949" spans="1:10">
      <c r="A2949" s="3" t="s">
        <v>10</v>
      </c>
      <c r="B2949" s="103">
        <v>493406</v>
      </c>
      <c r="C2949" s="57">
        <v>6</v>
      </c>
      <c r="D2949" s="61">
        <v>0</v>
      </c>
      <c r="E2949" s="61"/>
      <c r="F2949" s="122">
        <v>0</v>
      </c>
      <c r="G2949" s="62">
        <v>493400</v>
      </c>
      <c r="H2949" s="64">
        <v>1</v>
      </c>
      <c r="I2949" s="64"/>
      <c r="J2949" s="123">
        <v>1</v>
      </c>
    </row>
    <row r="2950" spans="1:10">
      <c r="A2950" s="3" t="s">
        <v>11</v>
      </c>
      <c r="B2950" s="103">
        <v>47650</v>
      </c>
      <c r="C2950" s="57">
        <v>111</v>
      </c>
      <c r="D2950" s="61">
        <v>2.3E-3</v>
      </c>
      <c r="E2950" s="61"/>
      <c r="F2950" s="122">
        <v>4.4999999999999997E-3</v>
      </c>
      <c r="G2950" s="62">
        <v>47539</v>
      </c>
      <c r="H2950" s="64">
        <v>0.99770000000000003</v>
      </c>
      <c r="I2950" s="64"/>
      <c r="J2950" s="123">
        <v>0.99550000000000005</v>
      </c>
    </row>
    <row r="2951" spans="1:10">
      <c r="A2951" s="3" t="s">
        <v>12</v>
      </c>
      <c r="B2951" s="103">
        <v>10468</v>
      </c>
      <c r="C2951" s="62">
        <v>2334</v>
      </c>
      <c r="D2951" s="61">
        <v>0.223</v>
      </c>
      <c r="E2951" s="61"/>
      <c r="F2951" s="122">
        <v>0.32490000000000002</v>
      </c>
      <c r="G2951" s="62">
        <v>8134</v>
      </c>
      <c r="H2951" s="64">
        <v>0.77700000000000002</v>
      </c>
      <c r="I2951" s="64"/>
      <c r="J2951" s="123">
        <v>0.67510000000000003</v>
      </c>
    </row>
    <row r="2952" spans="1:10">
      <c r="A2952" s="3" t="s">
        <v>13</v>
      </c>
      <c r="B2952" s="103">
        <v>391</v>
      </c>
      <c r="C2952" s="57">
        <v>197</v>
      </c>
      <c r="D2952" s="61">
        <v>0.50380000000000003</v>
      </c>
      <c r="E2952" s="61"/>
      <c r="F2952" s="122">
        <v>0.79749999999999999</v>
      </c>
      <c r="G2952" s="57">
        <v>194</v>
      </c>
      <c r="H2952" s="64">
        <v>0.49619999999999997</v>
      </c>
      <c r="I2952" s="64"/>
      <c r="J2952" s="123">
        <v>0.20250000000000001</v>
      </c>
    </row>
    <row r="2953" spans="1:10" ht="15.75" thickBot="1">
      <c r="A2953" s="3" t="s">
        <v>181</v>
      </c>
      <c r="B2953" s="103">
        <v>432</v>
      </c>
      <c r="C2953" s="105">
        <v>6</v>
      </c>
      <c r="D2953" s="106">
        <v>1.3899999999999999E-2</v>
      </c>
      <c r="E2953" s="106"/>
      <c r="F2953" s="124">
        <v>0.24510000000000001</v>
      </c>
      <c r="G2953" s="50">
        <v>426</v>
      </c>
      <c r="H2953" s="68">
        <v>0.98609999999999998</v>
      </c>
      <c r="I2953" s="64"/>
      <c r="J2953" s="125">
        <v>0.75490000000000002</v>
      </c>
    </row>
    <row r="2954" spans="1:10" ht="17.25" thickTop="1" thickBot="1">
      <c r="A2954" s="34" t="s">
        <v>175</v>
      </c>
      <c r="B2954" s="126">
        <f>SUM(B2949:B2953)</f>
        <v>552347</v>
      </c>
      <c r="C2954" s="74">
        <f>SUM(C2949:C2953)</f>
        <v>2654</v>
      </c>
      <c r="D2954" s="107">
        <v>4.7999999999999996E-3</v>
      </c>
      <c r="E2954" s="107"/>
      <c r="F2954" s="75">
        <v>0.3533</v>
      </c>
      <c r="G2954" s="74">
        <f>SUM(G2949:G2953)</f>
        <v>549693</v>
      </c>
      <c r="H2954" s="75">
        <v>0.99519999999999997</v>
      </c>
      <c r="I2954" s="75"/>
      <c r="J2954" s="76">
        <v>0.64670000000000005</v>
      </c>
    </row>
    <row r="2955" spans="1:10" ht="16.5" thickBot="1">
      <c r="A2955" s="22"/>
      <c r="B2955" s="111" t="s">
        <v>249</v>
      </c>
      <c r="C2955" s="22"/>
      <c r="D2955" s="22"/>
      <c r="E2955" s="22"/>
      <c r="F2955" s="22"/>
      <c r="G2955" s="22"/>
      <c r="H2955" s="22"/>
      <c r="I2955" s="22"/>
      <c r="J2955" s="112"/>
    </row>
    <row r="2956" spans="1:10" ht="17.25" thickTop="1" thickBot="1">
      <c r="A2956" s="1" t="s">
        <v>304</v>
      </c>
      <c r="B2956" s="97"/>
      <c r="C2956" s="113" t="s">
        <v>179</v>
      </c>
      <c r="D2956" s="114"/>
      <c r="E2956" s="114"/>
      <c r="F2956" s="115"/>
      <c r="G2956" s="114" t="s">
        <v>180</v>
      </c>
      <c r="H2956" s="114"/>
      <c r="I2956" s="114"/>
      <c r="J2956" s="115"/>
    </row>
    <row r="2957" spans="1:10" ht="15.75" thickTop="1">
      <c r="B2957" s="42" t="s">
        <v>4</v>
      </c>
      <c r="C2957" s="43" t="s">
        <v>5</v>
      </c>
      <c r="D2957" s="44"/>
      <c r="E2957" s="44"/>
      <c r="F2957" s="116" t="s">
        <v>6</v>
      </c>
      <c r="G2957" s="43" t="s">
        <v>7</v>
      </c>
      <c r="H2957" s="46"/>
      <c r="I2957" s="46"/>
      <c r="J2957" s="117" t="s">
        <v>6</v>
      </c>
    </row>
    <row r="2958" spans="1:10" ht="15.75" thickBot="1">
      <c r="B2958" s="49" t="s">
        <v>8</v>
      </c>
      <c r="C2958" s="50" t="s">
        <v>8</v>
      </c>
      <c r="D2958" s="51" t="s">
        <v>9</v>
      </c>
      <c r="E2958" s="51"/>
      <c r="F2958" s="118" t="s">
        <v>9</v>
      </c>
      <c r="G2958" s="53" t="s">
        <v>8</v>
      </c>
      <c r="H2958" s="54" t="s">
        <v>9</v>
      </c>
      <c r="I2958" s="54"/>
      <c r="J2958" s="119" t="s">
        <v>9</v>
      </c>
    </row>
    <row r="2959" spans="1:10" ht="15.75" thickTop="1">
      <c r="C2959" s="43"/>
      <c r="F2959" s="120"/>
      <c r="G2959" s="57"/>
      <c r="J2959" s="121"/>
    </row>
    <row r="2960" spans="1:10">
      <c r="A2960" s="3" t="s">
        <v>10</v>
      </c>
      <c r="B2960" s="103">
        <v>492893</v>
      </c>
      <c r="C2960" s="57">
        <v>7</v>
      </c>
      <c r="D2960" s="61">
        <v>0</v>
      </c>
      <c r="E2960" s="61"/>
      <c r="F2960" s="122">
        <v>0</v>
      </c>
      <c r="G2960" s="62">
        <v>492886</v>
      </c>
      <c r="H2960" s="64">
        <v>1</v>
      </c>
      <c r="I2960" s="64"/>
      <c r="J2960" s="123">
        <v>1</v>
      </c>
    </row>
    <row r="2961" spans="1:10">
      <c r="A2961" s="3" t="s">
        <v>11</v>
      </c>
      <c r="B2961" s="103">
        <v>47614</v>
      </c>
      <c r="C2961" s="57">
        <v>111</v>
      </c>
      <c r="D2961" s="61">
        <v>2.3E-3</v>
      </c>
      <c r="E2961" s="61"/>
      <c r="F2961" s="122">
        <v>4.4999999999999997E-3</v>
      </c>
      <c r="G2961" s="62">
        <v>47503</v>
      </c>
      <c r="H2961" s="64">
        <v>0.99770000000000003</v>
      </c>
      <c r="I2961" s="64"/>
      <c r="J2961" s="123">
        <v>0.99550000000000005</v>
      </c>
    </row>
    <row r="2962" spans="1:10">
      <c r="A2962" s="3" t="s">
        <v>12</v>
      </c>
      <c r="B2962" s="103">
        <v>10407</v>
      </c>
      <c r="C2962" s="62">
        <v>2338</v>
      </c>
      <c r="D2962" s="61">
        <v>0.22470000000000001</v>
      </c>
      <c r="E2962" s="61"/>
      <c r="F2962" s="122">
        <v>0.32819999999999999</v>
      </c>
      <c r="G2962" s="62">
        <v>8069</v>
      </c>
      <c r="H2962" s="64">
        <v>0.77529999999999999</v>
      </c>
      <c r="I2962" s="64"/>
      <c r="J2962" s="123">
        <v>0.67179999999999995</v>
      </c>
    </row>
    <row r="2963" spans="1:10">
      <c r="A2963" s="3" t="s">
        <v>13</v>
      </c>
      <c r="B2963" s="103">
        <v>395</v>
      </c>
      <c r="C2963" s="57">
        <v>198</v>
      </c>
      <c r="D2963" s="61">
        <v>0.50129999999999997</v>
      </c>
      <c r="E2963" s="61"/>
      <c r="F2963" s="122">
        <v>0.80500000000000005</v>
      </c>
      <c r="G2963" s="57">
        <v>197</v>
      </c>
      <c r="H2963" s="64">
        <v>0.49869999999999998</v>
      </c>
      <c r="I2963" s="64"/>
      <c r="J2963" s="123">
        <v>0.19500000000000001</v>
      </c>
    </row>
    <row r="2964" spans="1:10" ht="15.75" thickBot="1">
      <c r="A2964" s="3" t="s">
        <v>181</v>
      </c>
      <c r="B2964" s="103">
        <v>433</v>
      </c>
      <c r="C2964" s="105">
        <v>6</v>
      </c>
      <c r="D2964" s="106">
        <v>1.3899999999999999E-2</v>
      </c>
      <c r="E2964" s="106"/>
      <c r="F2964" s="124">
        <v>0.2472</v>
      </c>
      <c r="G2964" s="50">
        <v>427</v>
      </c>
      <c r="H2964" s="68">
        <v>0.98609999999999998</v>
      </c>
      <c r="I2964" s="64"/>
      <c r="J2964" s="125">
        <v>0.75280000000000002</v>
      </c>
    </row>
    <row r="2965" spans="1:10" ht="17.25" thickTop="1" thickBot="1">
      <c r="A2965" s="34" t="s">
        <v>175</v>
      </c>
      <c r="B2965" s="126">
        <f>SUM(B2960:B2964)</f>
        <v>551742</v>
      </c>
      <c r="C2965" s="74">
        <f>SUM(C2960:C2964)</f>
        <v>2660</v>
      </c>
      <c r="D2965" s="107">
        <v>4.7999999999999996E-3</v>
      </c>
      <c r="E2965" s="107"/>
      <c r="F2965" s="75">
        <v>0.35749999999999998</v>
      </c>
      <c r="G2965" s="74">
        <f>SUM(G2960:G2964)</f>
        <v>549082</v>
      </c>
      <c r="H2965" s="75">
        <v>0.99519999999999997</v>
      </c>
      <c r="I2965" s="75"/>
      <c r="J2965" s="76">
        <v>0.64249999999999996</v>
      </c>
    </row>
    <row r="2966" spans="1:10" ht="16.5" thickBot="1">
      <c r="A2966" s="22"/>
      <c r="B2966" s="111" t="s">
        <v>249</v>
      </c>
      <c r="C2966" s="22"/>
      <c r="D2966" s="22"/>
      <c r="E2966" s="22"/>
      <c r="F2966" s="22"/>
      <c r="G2966" s="22"/>
      <c r="H2966" s="22"/>
      <c r="I2966" s="22"/>
      <c r="J2966" s="112"/>
    </row>
    <row r="2967" spans="1:10" ht="17.25" thickTop="1" thickBot="1">
      <c r="A2967" s="1" t="s">
        <v>305</v>
      </c>
      <c r="B2967" s="97"/>
      <c r="C2967" s="113" t="s">
        <v>179</v>
      </c>
      <c r="D2967" s="114"/>
      <c r="E2967" s="114"/>
      <c r="F2967" s="115"/>
      <c r="G2967" s="114" t="s">
        <v>180</v>
      </c>
      <c r="H2967" s="114"/>
      <c r="I2967" s="114"/>
      <c r="J2967" s="115"/>
    </row>
    <row r="2968" spans="1:10" ht="15.75" thickTop="1">
      <c r="B2968" s="42" t="s">
        <v>4</v>
      </c>
      <c r="C2968" s="43" t="s">
        <v>5</v>
      </c>
      <c r="D2968" s="44"/>
      <c r="E2968" s="44"/>
      <c r="F2968" s="116" t="s">
        <v>6</v>
      </c>
      <c r="G2968" s="43" t="s">
        <v>7</v>
      </c>
      <c r="H2968" s="46"/>
      <c r="I2968" s="46"/>
      <c r="J2968" s="117" t="s">
        <v>6</v>
      </c>
    </row>
    <row r="2969" spans="1:10" ht="15.75" thickBot="1">
      <c r="B2969" s="49" t="s">
        <v>8</v>
      </c>
      <c r="C2969" s="50" t="s">
        <v>8</v>
      </c>
      <c r="D2969" s="51" t="s">
        <v>9</v>
      </c>
      <c r="E2969" s="51"/>
      <c r="F2969" s="118" t="s">
        <v>9</v>
      </c>
      <c r="G2969" s="53" t="s">
        <v>8</v>
      </c>
      <c r="H2969" s="54" t="s">
        <v>9</v>
      </c>
      <c r="I2969" s="54"/>
      <c r="J2969" s="119" t="s">
        <v>9</v>
      </c>
    </row>
    <row r="2970" spans="1:10" ht="15.75" thickTop="1">
      <c r="C2970" s="43"/>
      <c r="F2970" s="120"/>
      <c r="G2970" s="57"/>
      <c r="J2970" s="121"/>
    </row>
    <row r="2971" spans="1:10">
      <c r="A2971" s="3" t="s">
        <v>10</v>
      </c>
      <c r="B2971" s="103">
        <v>492578</v>
      </c>
      <c r="C2971" s="57">
        <v>8</v>
      </c>
      <c r="D2971" s="61">
        <v>0</v>
      </c>
      <c r="E2971" s="61"/>
      <c r="F2971" s="122">
        <v>0</v>
      </c>
      <c r="G2971" s="62">
        <v>492570</v>
      </c>
      <c r="H2971" s="64">
        <v>1</v>
      </c>
      <c r="I2971" s="64"/>
      <c r="J2971" s="123">
        <v>1</v>
      </c>
    </row>
    <row r="2972" spans="1:10">
      <c r="A2972" s="3" t="s">
        <v>11</v>
      </c>
      <c r="B2972" s="103">
        <v>47516</v>
      </c>
      <c r="C2972" s="57">
        <v>112</v>
      </c>
      <c r="D2972" s="61">
        <v>2.3999999999999998E-3</v>
      </c>
      <c r="E2972" s="61"/>
      <c r="F2972" s="122">
        <v>5.1999999999999998E-3</v>
      </c>
      <c r="G2972" s="62">
        <v>47404</v>
      </c>
      <c r="H2972" s="64">
        <v>0.99760000000000004</v>
      </c>
      <c r="I2972" s="64"/>
      <c r="J2972" s="123">
        <v>0.99480000000000002</v>
      </c>
    </row>
    <row r="2973" spans="1:10">
      <c r="A2973" s="3" t="s">
        <v>12</v>
      </c>
      <c r="B2973" s="103">
        <v>10330</v>
      </c>
      <c r="C2973" s="62">
        <v>2396</v>
      </c>
      <c r="D2973" s="61">
        <v>0.2319</v>
      </c>
      <c r="E2973" s="61"/>
      <c r="F2973" s="122">
        <v>0.34610000000000002</v>
      </c>
      <c r="G2973" s="62">
        <v>7934</v>
      </c>
      <c r="H2973" s="64">
        <v>0.7681</v>
      </c>
      <c r="I2973" s="64"/>
      <c r="J2973" s="123">
        <v>0.65390000000000004</v>
      </c>
    </row>
    <row r="2974" spans="1:10">
      <c r="A2974" s="3" t="s">
        <v>13</v>
      </c>
      <c r="B2974" s="103">
        <v>395</v>
      </c>
      <c r="C2974" s="57">
        <v>212</v>
      </c>
      <c r="D2974" s="61">
        <v>0.53669999999999995</v>
      </c>
      <c r="E2974" s="61"/>
      <c r="F2974" s="122">
        <v>0.83169999999999999</v>
      </c>
      <c r="G2974" s="57">
        <v>183</v>
      </c>
      <c r="H2974" s="64">
        <v>0.46329999999999999</v>
      </c>
      <c r="I2974" s="64"/>
      <c r="J2974" s="123">
        <v>0.16830000000000001</v>
      </c>
    </row>
    <row r="2975" spans="1:10" ht="15.75" thickBot="1">
      <c r="A2975" s="3" t="s">
        <v>181</v>
      </c>
      <c r="B2975" s="103">
        <v>433</v>
      </c>
      <c r="C2975" s="105">
        <v>6</v>
      </c>
      <c r="D2975" s="106">
        <v>1.3899999999999999E-2</v>
      </c>
      <c r="E2975" s="106"/>
      <c r="F2975" s="124">
        <v>0.25369999999999998</v>
      </c>
      <c r="G2975" s="50">
        <v>427</v>
      </c>
      <c r="H2975" s="68">
        <v>0.98609999999999998</v>
      </c>
      <c r="I2975" s="64"/>
      <c r="J2975" s="125">
        <v>0.74629999999999996</v>
      </c>
    </row>
    <row r="2976" spans="1:10" ht="17.25" thickTop="1" thickBot="1">
      <c r="A2976" s="34" t="s">
        <v>175</v>
      </c>
      <c r="B2976" s="126">
        <f>SUM(B2971:B2975)</f>
        <v>551252</v>
      </c>
      <c r="C2976" s="74">
        <f>SUM(C2971:C2975)</f>
        <v>2734</v>
      </c>
      <c r="D2976" s="107">
        <v>5.0000000000000001E-3</v>
      </c>
      <c r="E2976" s="107"/>
      <c r="F2976" s="75">
        <v>0.36609999999999998</v>
      </c>
      <c r="G2976" s="74">
        <f>SUM(G2971:G2975)</f>
        <v>548518</v>
      </c>
      <c r="H2976" s="75">
        <v>0.995</v>
      </c>
      <c r="I2976" s="75"/>
      <c r="J2976" s="76">
        <v>0.63390000000000002</v>
      </c>
    </row>
    <row r="2977" spans="1:10" ht="16.5" thickBot="1">
      <c r="A2977" s="22"/>
      <c r="B2977" s="111" t="s">
        <v>249</v>
      </c>
      <c r="C2977" s="22"/>
      <c r="D2977" s="22"/>
      <c r="E2977" s="22"/>
      <c r="F2977" s="22"/>
      <c r="G2977" s="22"/>
      <c r="H2977" s="22"/>
      <c r="I2977" s="22"/>
      <c r="J2977" s="112"/>
    </row>
    <row r="2978" spans="1:10" ht="17.25" thickTop="1" thickBot="1">
      <c r="A2978" s="1" t="s">
        <v>306</v>
      </c>
      <c r="B2978" s="97"/>
      <c r="C2978" s="113" t="s">
        <v>179</v>
      </c>
      <c r="D2978" s="114"/>
      <c r="E2978" s="114"/>
      <c r="F2978" s="115"/>
      <c r="G2978" s="114" t="s">
        <v>180</v>
      </c>
      <c r="H2978" s="114"/>
      <c r="I2978" s="114"/>
      <c r="J2978" s="115"/>
    </row>
    <row r="2979" spans="1:10" ht="15.75" thickTop="1">
      <c r="B2979" s="42" t="s">
        <v>4</v>
      </c>
      <c r="C2979" s="43" t="s">
        <v>5</v>
      </c>
      <c r="D2979" s="44"/>
      <c r="E2979" s="44"/>
      <c r="F2979" s="116" t="s">
        <v>6</v>
      </c>
      <c r="G2979" s="43" t="s">
        <v>7</v>
      </c>
      <c r="H2979" s="46"/>
      <c r="I2979" s="46"/>
      <c r="J2979" s="117" t="s">
        <v>6</v>
      </c>
    </row>
    <row r="2980" spans="1:10" ht="15.75" thickBot="1">
      <c r="B2980" s="49" t="s">
        <v>8</v>
      </c>
      <c r="C2980" s="50" t="s">
        <v>8</v>
      </c>
      <c r="D2980" s="51" t="s">
        <v>9</v>
      </c>
      <c r="E2980" s="51"/>
      <c r="F2980" s="118" t="s">
        <v>9</v>
      </c>
      <c r="G2980" s="53" t="s">
        <v>8</v>
      </c>
      <c r="H2980" s="54" t="s">
        <v>9</v>
      </c>
      <c r="I2980" s="54"/>
      <c r="J2980" s="119" t="s">
        <v>9</v>
      </c>
    </row>
    <row r="2981" spans="1:10" ht="15.75" thickTop="1">
      <c r="C2981" s="43"/>
      <c r="F2981" s="120"/>
      <c r="G2981" s="57"/>
      <c r="J2981" s="121"/>
    </row>
    <row r="2982" spans="1:10">
      <c r="A2982" s="3" t="s">
        <v>10</v>
      </c>
      <c r="B2982" s="103">
        <v>492315</v>
      </c>
      <c r="C2982" s="57">
        <v>7</v>
      </c>
      <c r="D2982" s="61">
        <v>0</v>
      </c>
      <c r="E2982" s="61"/>
      <c r="F2982" s="122">
        <v>0</v>
      </c>
      <c r="G2982" s="62">
        <v>492308</v>
      </c>
      <c r="H2982" s="64">
        <v>1</v>
      </c>
      <c r="I2982" s="64"/>
      <c r="J2982" s="123">
        <v>1</v>
      </c>
    </row>
    <row r="2983" spans="1:10">
      <c r="A2983" s="3" t="s">
        <v>11</v>
      </c>
      <c r="B2983" s="103">
        <v>47809</v>
      </c>
      <c r="C2983" s="57">
        <v>120</v>
      </c>
      <c r="D2983" s="61">
        <v>2.5000000000000001E-3</v>
      </c>
      <c r="E2983" s="61"/>
      <c r="F2983" s="122">
        <v>6.4000000000000003E-3</v>
      </c>
      <c r="G2983" s="62">
        <v>47689</v>
      </c>
      <c r="H2983" s="64">
        <v>0.99750000000000005</v>
      </c>
      <c r="I2983" s="64"/>
      <c r="J2983" s="123">
        <v>0.99360000000000004</v>
      </c>
    </row>
    <row r="2984" spans="1:10">
      <c r="A2984" s="3" t="s">
        <v>12</v>
      </c>
      <c r="B2984" s="103">
        <v>9902</v>
      </c>
      <c r="C2984" s="62">
        <v>3321</v>
      </c>
      <c r="D2984" s="61">
        <v>0.33539999999999998</v>
      </c>
      <c r="E2984" s="61"/>
      <c r="F2984" s="122">
        <v>0.47270000000000001</v>
      </c>
      <c r="G2984" s="62">
        <v>6581</v>
      </c>
      <c r="H2984" s="64">
        <v>0.66459999999999997</v>
      </c>
      <c r="I2984" s="64"/>
      <c r="J2984" s="123">
        <v>0.52729999999999999</v>
      </c>
    </row>
    <row r="2985" spans="1:10">
      <c r="A2985" s="3" t="s">
        <v>13</v>
      </c>
      <c r="B2985" s="103">
        <v>397</v>
      </c>
      <c r="C2985" s="57">
        <v>256</v>
      </c>
      <c r="D2985" s="61">
        <v>0.64480000000000004</v>
      </c>
      <c r="E2985" s="61"/>
      <c r="F2985" s="122">
        <v>0.88719999999999999</v>
      </c>
      <c r="G2985" s="57">
        <v>141</v>
      </c>
      <c r="H2985" s="64">
        <v>0.35520000000000002</v>
      </c>
      <c r="I2985" s="64"/>
      <c r="J2985" s="123">
        <v>0.1128</v>
      </c>
    </row>
    <row r="2986" spans="1:10" ht="15.75" thickBot="1">
      <c r="A2986" s="3" t="s">
        <v>181</v>
      </c>
      <c r="B2986" s="103">
        <v>433</v>
      </c>
      <c r="C2986" s="105">
        <v>6</v>
      </c>
      <c r="D2986" s="106">
        <v>1.3899999999999999E-2</v>
      </c>
      <c r="E2986" s="106"/>
      <c r="F2986" s="124">
        <v>0.29139999999999999</v>
      </c>
      <c r="G2986" s="50">
        <v>427</v>
      </c>
      <c r="H2986" s="68">
        <v>0.98609999999999998</v>
      </c>
      <c r="I2986" s="64"/>
      <c r="J2986" s="125">
        <v>0.70860000000000001</v>
      </c>
    </row>
    <row r="2987" spans="1:10" ht="17.25" thickTop="1" thickBot="1">
      <c r="A2987" s="34" t="s">
        <v>175</v>
      </c>
      <c r="B2987" s="126">
        <f>SUM(B2982:B2986)</f>
        <v>550856</v>
      </c>
      <c r="C2987" s="74">
        <f>SUM(C2982:C2986)</f>
        <v>3710</v>
      </c>
      <c r="D2987" s="107">
        <v>6.7000000000000002E-3</v>
      </c>
      <c r="E2987" s="107"/>
      <c r="F2987" s="75">
        <v>0.41389999999999999</v>
      </c>
      <c r="G2987" s="74">
        <f>SUM(G2982:G2986)</f>
        <v>547146</v>
      </c>
      <c r="H2987" s="75">
        <v>0.99329999999999996</v>
      </c>
      <c r="I2987" s="75"/>
      <c r="J2987" s="76">
        <v>0.58609999999999995</v>
      </c>
    </row>
    <row r="2988" spans="1:10" ht="16.5" thickBot="1">
      <c r="A2988" s="22"/>
      <c r="B2988" s="111" t="s">
        <v>249</v>
      </c>
      <c r="C2988" s="22"/>
      <c r="D2988" s="22"/>
      <c r="E2988" s="22"/>
      <c r="F2988" s="22"/>
      <c r="G2988" s="22"/>
      <c r="H2988" s="22"/>
      <c r="I2988" s="22"/>
      <c r="J2988" s="112"/>
    </row>
    <row r="2989" spans="1:10" ht="17.25" thickTop="1" thickBot="1">
      <c r="A2989" s="1" t="s">
        <v>307</v>
      </c>
      <c r="B2989" s="97"/>
      <c r="C2989" s="113" t="s">
        <v>179</v>
      </c>
      <c r="D2989" s="114"/>
      <c r="E2989" s="114"/>
      <c r="F2989" s="115"/>
      <c r="G2989" s="114" t="s">
        <v>180</v>
      </c>
      <c r="H2989" s="114"/>
      <c r="I2989" s="114"/>
      <c r="J2989" s="115"/>
    </row>
    <row r="2990" spans="1:10" ht="15.75" thickTop="1">
      <c r="B2990" s="42" t="s">
        <v>4</v>
      </c>
      <c r="C2990" s="43" t="s">
        <v>5</v>
      </c>
      <c r="D2990" s="44"/>
      <c r="E2990" s="44"/>
      <c r="F2990" s="116" t="s">
        <v>6</v>
      </c>
      <c r="G2990" s="43" t="s">
        <v>7</v>
      </c>
      <c r="H2990" s="46"/>
      <c r="I2990" s="46"/>
      <c r="J2990" s="117" t="s">
        <v>6</v>
      </c>
    </row>
    <row r="2991" spans="1:10" ht="15.75" thickBot="1">
      <c r="B2991" s="49" t="s">
        <v>8</v>
      </c>
      <c r="C2991" s="50" t="s">
        <v>8</v>
      </c>
      <c r="D2991" s="51" t="s">
        <v>9</v>
      </c>
      <c r="E2991" s="51"/>
      <c r="F2991" s="118" t="s">
        <v>9</v>
      </c>
      <c r="G2991" s="53" t="s">
        <v>8</v>
      </c>
      <c r="H2991" s="54" t="s">
        <v>9</v>
      </c>
      <c r="I2991" s="54"/>
      <c r="J2991" s="119" t="s">
        <v>9</v>
      </c>
    </row>
    <row r="2992" spans="1:10" ht="15.75" thickTop="1">
      <c r="C2992" s="43"/>
      <c r="F2992" s="120"/>
      <c r="G2992" s="57"/>
      <c r="J2992" s="121"/>
    </row>
    <row r="2993" spans="1:10">
      <c r="A2993" s="3" t="s">
        <v>10</v>
      </c>
      <c r="B2993" s="103">
        <v>491861</v>
      </c>
      <c r="C2993" s="57">
        <v>6</v>
      </c>
      <c r="D2993" s="61">
        <v>0</v>
      </c>
      <c r="E2993" s="61"/>
      <c r="F2993" s="122">
        <v>0</v>
      </c>
      <c r="G2993" s="62">
        <v>491855</v>
      </c>
      <c r="H2993" s="64">
        <v>1</v>
      </c>
      <c r="I2993" s="64"/>
      <c r="J2993" s="123">
        <v>1</v>
      </c>
    </row>
    <row r="2994" spans="1:10">
      <c r="A2994" s="3" t="s">
        <v>11</v>
      </c>
      <c r="B2994" s="103">
        <v>47658</v>
      </c>
      <c r="C2994" s="57">
        <v>113</v>
      </c>
      <c r="D2994" s="61">
        <v>2.3999999999999998E-3</v>
      </c>
      <c r="E2994" s="61"/>
      <c r="F2994" s="122">
        <v>6.7000000000000002E-3</v>
      </c>
      <c r="G2994" s="62">
        <v>47545</v>
      </c>
      <c r="H2994" s="64">
        <v>0.99760000000000004</v>
      </c>
      <c r="I2994" s="64"/>
      <c r="J2994" s="123">
        <v>0.99329999999999996</v>
      </c>
    </row>
    <row r="2995" spans="1:10">
      <c r="A2995" s="3" t="s">
        <v>12</v>
      </c>
      <c r="B2995" s="103">
        <v>9767</v>
      </c>
      <c r="C2995" s="62">
        <v>3368</v>
      </c>
      <c r="D2995" s="61">
        <v>0.3448</v>
      </c>
      <c r="E2995" s="61"/>
      <c r="F2995" s="122">
        <v>0.48130000000000001</v>
      </c>
      <c r="G2995" s="62">
        <v>6399</v>
      </c>
      <c r="H2995" s="64">
        <v>0.6552</v>
      </c>
      <c r="I2995" s="64"/>
      <c r="J2995" s="123">
        <v>0.51870000000000005</v>
      </c>
    </row>
    <row r="2996" spans="1:10">
      <c r="A2996" s="3" t="s">
        <v>13</v>
      </c>
      <c r="B2996" s="103">
        <v>393</v>
      </c>
      <c r="C2996" s="57">
        <v>256</v>
      </c>
      <c r="D2996" s="61">
        <v>0.65139999999999998</v>
      </c>
      <c r="E2996" s="61"/>
      <c r="F2996" s="122">
        <v>0.90259999999999996</v>
      </c>
      <c r="G2996" s="57">
        <v>137</v>
      </c>
      <c r="H2996" s="64">
        <v>0.34860000000000002</v>
      </c>
      <c r="I2996" s="64"/>
      <c r="J2996" s="123">
        <v>9.74E-2</v>
      </c>
    </row>
    <row r="2997" spans="1:10" ht="15.75" thickBot="1">
      <c r="A2997" s="3" t="s">
        <v>181</v>
      </c>
      <c r="B2997" s="103">
        <v>433</v>
      </c>
      <c r="C2997" s="105">
        <v>6</v>
      </c>
      <c r="D2997" s="106">
        <v>1.3899999999999999E-2</v>
      </c>
      <c r="E2997" s="106"/>
      <c r="F2997" s="124">
        <v>0.2893</v>
      </c>
      <c r="G2997" s="50">
        <v>427</v>
      </c>
      <c r="H2997" s="68">
        <v>0.98609999999999998</v>
      </c>
      <c r="I2997" s="64"/>
      <c r="J2997" s="125">
        <v>0.7107</v>
      </c>
    </row>
    <row r="2998" spans="1:10" ht="17.25" thickTop="1" thickBot="1">
      <c r="A2998" s="34" t="s">
        <v>175</v>
      </c>
      <c r="B2998" s="126">
        <f>SUM(B2993:B2997)</f>
        <v>550112</v>
      </c>
      <c r="C2998" s="74">
        <f>SUM(C2993:C2997)</f>
        <v>3749</v>
      </c>
      <c r="D2998" s="107">
        <v>6.7999999999999996E-3</v>
      </c>
      <c r="E2998" s="107"/>
      <c r="F2998" s="75">
        <v>0.44869999999999999</v>
      </c>
      <c r="G2998" s="74">
        <f>SUM(G2993:G2997)</f>
        <v>546363</v>
      </c>
      <c r="H2998" s="75">
        <v>0.99319999999999997</v>
      </c>
      <c r="I2998" s="75"/>
      <c r="J2998" s="76">
        <v>0.55130000000000001</v>
      </c>
    </row>
    <row r="2999" spans="1:10" ht="16.5" thickBot="1">
      <c r="A2999" s="22"/>
      <c r="B2999" s="111" t="s">
        <v>249</v>
      </c>
      <c r="C2999" s="22"/>
      <c r="D2999" s="22"/>
      <c r="E2999" s="22"/>
      <c r="F2999" s="22"/>
      <c r="G2999" s="22"/>
      <c r="H2999" s="22"/>
      <c r="I2999" s="22"/>
      <c r="J2999" s="112"/>
    </row>
    <row r="3000" spans="1:10" ht="17.25" thickTop="1" thickBot="1">
      <c r="A3000" s="1" t="s">
        <v>308</v>
      </c>
      <c r="B3000" s="97"/>
      <c r="C3000" s="113" t="s">
        <v>179</v>
      </c>
      <c r="D3000" s="114"/>
      <c r="E3000" s="114"/>
      <c r="F3000" s="115"/>
      <c r="G3000" s="114" t="s">
        <v>180</v>
      </c>
      <c r="H3000" s="114"/>
      <c r="I3000" s="114"/>
      <c r="J3000" s="115"/>
    </row>
    <row r="3001" spans="1:10" ht="15.75" thickTop="1">
      <c r="B3001" s="42" t="s">
        <v>4</v>
      </c>
      <c r="C3001" s="43" t="s">
        <v>5</v>
      </c>
      <c r="D3001" s="44"/>
      <c r="E3001" s="44"/>
      <c r="F3001" s="116" t="s">
        <v>6</v>
      </c>
      <c r="G3001" s="43" t="s">
        <v>7</v>
      </c>
      <c r="H3001" s="46"/>
      <c r="I3001" s="46"/>
      <c r="J3001" s="117" t="s">
        <v>6</v>
      </c>
    </row>
    <row r="3002" spans="1:10" ht="15.75" thickBot="1">
      <c r="B3002" s="49" t="s">
        <v>8</v>
      </c>
      <c r="C3002" s="50" t="s">
        <v>8</v>
      </c>
      <c r="D3002" s="51" t="s">
        <v>9</v>
      </c>
      <c r="E3002" s="51"/>
      <c r="F3002" s="118" t="s">
        <v>9</v>
      </c>
      <c r="G3002" s="53" t="s">
        <v>8</v>
      </c>
      <c r="H3002" s="54" t="s">
        <v>9</v>
      </c>
      <c r="I3002" s="54"/>
      <c r="J3002" s="119" t="s">
        <v>9</v>
      </c>
    </row>
    <row r="3003" spans="1:10" ht="15.75" thickTop="1">
      <c r="C3003" s="43"/>
      <c r="F3003" s="120"/>
      <c r="G3003" s="57"/>
      <c r="J3003" s="121"/>
    </row>
    <row r="3004" spans="1:10">
      <c r="A3004" s="3" t="s">
        <v>10</v>
      </c>
      <c r="B3004" s="103">
        <v>491410</v>
      </c>
      <c r="C3004" s="57">
        <v>33</v>
      </c>
      <c r="D3004" s="61">
        <v>1E-4</v>
      </c>
      <c r="E3004" s="61"/>
      <c r="F3004" s="122">
        <v>1.3999999999999999E-4</v>
      </c>
      <c r="G3004" s="62">
        <v>491377</v>
      </c>
      <c r="H3004" s="64">
        <v>0.99990000000000001</v>
      </c>
      <c r="I3004" s="64"/>
      <c r="J3004" s="123">
        <v>0.99990000000000001</v>
      </c>
    </row>
    <row r="3005" spans="1:10">
      <c r="A3005" s="3" t="s">
        <v>11</v>
      </c>
      <c r="B3005" s="103">
        <v>47503</v>
      </c>
      <c r="C3005" s="57">
        <v>110</v>
      </c>
      <c r="D3005" s="61">
        <v>2.3E-3</v>
      </c>
      <c r="E3005" s="61"/>
      <c r="F3005" s="122">
        <v>6.3E-3</v>
      </c>
      <c r="G3005" s="62">
        <v>47393</v>
      </c>
      <c r="H3005" s="64">
        <v>0.99770000000000003</v>
      </c>
      <c r="I3005" s="64"/>
      <c r="J3005" s="123">
        <v>0.99370000000000003</v>
      </c>
    </row>
    <row r="3006" spans="1:10">
      <c r="A3006" s="3" t="s">
        <v>12</v>
      </c>
      <c r="B3006" s="103">
        <v>9700</v>
      </c>
      <c r="C3006" s="62">
        <v>3243</v>
      </c>
      <c r="D3006" s="61">
        <v>0.33429999999999999</v>
      </c>
      <c r="E3006" s="61"/>
      <c r="F3006" s="122">
        <v>0.4632</v>
      </c>
      <c r="G3006" s="62">
        <v>6457</v>
      </c>
      <c r="H3006" s="64">
        <v>0.66569999999999996</v>
      </c>
      <c r="I3006" s="64"/>
      <c r="J3006" s="123">
        <v>0.53680000000000005</v>
      </c>
    </row>
    <row r="3007" spans="1:10">
      <c r="A3007" s="3" t="s">
        <v>13</v>
      </c>
      <c r="B3007" s="103">
        <v>386</v>
      </c>
      <c r="C3007" s="57">
        <v>249</v>
      </c>
      <c r="D3007" s="61">
        <v>0.64510000000000001</v>
      </c>
      <c r="E3007" s="61"/>
      <c r="F3007" s="122">
        <v>0.90429999999999999</v>
      </c>
      <c r="G3007" s="57">
        <v>137</v>
      </c>
      <c r="H3007" s="64">
        <v>0.35489999999999999</v>
      </c>
      <c r="I3007" s="64"/>
      <c r="J3007" s="123">
        <v>9.5699999999999993E-2</v>
      </c>
    </row>
    <row r="3008" spans="1:10" ht="15.75" thickBot="1">
      <c r="A3008" s="3" t="s">
        <v>181</v>
      </c>
      <c r="B3008" s="103">
        <v>430</v>
      </c>
      <c r="C3008" s="105">
        <v>6</v>
      </c>
      <c r="D3008" s="106">
        <v>1.4E-2</v>
      </c>
      <c r="E3008" s="106"/>
      <c r="F3008" s="124">
        <v>0.28149999999999997</v>
      </c>
      <c r="G3008" s="50">
        <v>424</v>
      </c>
      <c r="H3008" s="68">
        <v>0.98599999999999999</v>
      </c>
      <c r="I3008" s="64"/>
      <c r="J3008" s="125">
        <v>0.71850000000000003</v>
      </c>
    </row>
    <row r="3009" spans="1:10" ht="17.25" thickTop="1" thickBot="1">
      <c r="A3009" s="34" t="s">
        <v>175</v>
      </c>
      <c r="B3009" s="126">
        <f>SUM(B3004:B3008)</f>
        <v>549429</v>
      </c>
      <c r="C3009" s="74">
        <f>SUM(C3004:C3008)</f>
        <v>3641</v>
      </c>
      <c r="D3009" s="107">
        <v>6.6E-3</v>
      </c>
      <c r="E3009" s="107"/>
      <c r="F3009" s="75">
        <v>0.44259999999999999</v>
      </c>
      <c r="G3009" s="74">
        <f>SUM(G3004:G3008)</f>
        <v>545788</v>
      </c>
      <c r="H3009" s="75">
        <v>0.99339999999999995</v>
      </c>
      <c r="I3009" s="75"/>
      <c r="J3009" s="76">
        <v>0.55740000000000001</v>
      </c>
    </row>
    <row r="3010" spans="1:10" ht="16.5" thickBot="1">
      <c r="A3010" s="22"/>
      <c r="B3010" s="111" t="s">
        <v>249</v>
      </c>
      <c r="C3010" s="22"/>
      <c r="D3010" s="22"/>
      <c r="E3010" s="22"/>
      <c r="F3010" s="22"/>
      <c r="G3010" s="22"/>
      <c r="H3010" s="22"/>
      <c r="I3010" s="22"/>
      <c r="J3010" s="112"/>
    </row>
    <row r="3011" spans="1:10" ht="17.25" thickTop="1" thickBot="1">
      <c r="A3011" s="1" t="s">
        <v>309</v>
      </c>
      <c r="B3011" s="97"/>
      <c r="C3011" s="113" t="s">
        <v>179</v>
      </c>
      <c r="D3011" s="114"/>
      <c r="E3011" s="114"/>
      <c r="F3011" s="115"/>
      <c r="G3011" s="114" t="s">
        <v>180</v>
      </c>
      <c r="H3011" s="114"/>
      <c r="I3011" s="114"/>
      <c r="J3011" s="115"/>
    </row>
    <row r="3012" spans="1:10" ht="15.75" thickTop="1">
      <c r="B3012" s="42" t="s">
        <v>4</v>
      </c>
      <c r="C3012" s="43" t="s">
        <v>5</v>
      </c>
      <c r="D3012" s="44"/>
      <c r="E3012" s="44"/>
      <c r="F3012" s="116" t="s">
        <v>6</v>
      </c>
      <c r="G3012" s="43" t="s">
        <v>7</v>
      </c>
      <c r="H3012" s="46"/>
      <c r="I3012" s="46"/>
      <c r="J3012" s="117" t="s">
        <v>6</v>
      </c>
    </row>
    <row r="3013" spans="1:10" ht="15.75" thickBot="1">
      <c r="B3013" s="49" t="s">
        <v>8</v>
      </c>
      <c r="C3013" s="50" t="s">
        <v>8</v>
      </c>
      <c r="D3013" s="51" t="s">
        <v>9</v>
      </c>
      <c r="E3013" s="51"/>
      <c r="F3013" s="118" t="s">
        <v>9</v>
      </c>
      <c r="G3013" s="53" t="s">
        <v>8</v>
      </c>
      <c r="H3013" s="54" t="s">
        <v>9</v>
      </c>
      <c r="I3013" s="54"/>
      <c r="J3013" s="119" t="s">
        <v>9</v>
      </c>
    </row>
    <row r="3014" spans="1:10" ht="15.75" thickTop="1">
      <c r="C3014" s="43"/>
      <c r="F3014" s="120"/>
      <c r="G3014" s="57"/>
      <c r="J3014" s="121"/>
    </row>
    <row r="3015" spans="1:10">
      <c r="A3015" s="3" t="s">
        <v>10</v>
      </c>
      <c r="B3015" s="103">
        <v>490703</v>
      </c>
      <c r="C3015" s="57">
        <v>44</v>
      </c>
      <c r="D3015" s="61">
        <v>1E-4</v>
      </c>
      <c r="E3015" s="61"/>
      <c r="F3015" s="122">
        <v>1.3999999999999999E-4</v>
      </c>
      <c r="G3015" s="62">
        <v>490659</v>
      </c>
      <c r="H3015" s="64">
        <v>0.99990000000000001</v>
      </c>
      <c r="I3015" s="64"/>
      <c r="J3015" s="123">
        <v>0.99990000000000001</v>
      </c>
    </row>
    <row r="3016" spans="1:10">
      <c r="A3016" s="3" t="s">
        <v>11</v>
      </c>
      <c r="B3016" s="103">
        <v>47309</v>
      </c>
      <c r="C3016" s="57">
        <v>113</v>
      </c>
      <c r="D3016" s="61">
        <v>2.3999999999999998E-3</v>
      </c>
      <c r="E3016" s="61"/>
      <c r="F3016" s="122">
        <v>5.3E-3</v>
      </c>
      <c r="G3016" s="62">
        <v>47196</v>
      </c>
      <c r="H3016" s="64">
        <v>0.99760000000000004</v>
      </c>
      <c r="I3016" s="64"/>
      <c r="J3016" s="123">
        <v>0.99470000000000003</v>
      </c>
    </row>
    <row r="3017" spans="1:10">
      <c r="A3017" s="3" t="s">
        <v>12</v>
      </c>
      <c r="B3017" s="103">
        <v>9737</v>
      </c>
      <c r="C3017" s="62">
        <v>3092</v>
      </c>
      <c r="D3017" s="61">
        <v>0.31759999999999999</v>
      </c>
      <c r="E3017" s="61"/>
      <c r="F3017" s="122">
        <v>0.44979999999999998</v>
      </c>
      <c r="G3017" s="62">
        <v>6645</v>
      </c>
      <c r="H3017" s="64">
        <v>0.68240000000000001</v>
      </c>
      <c r="I3017" s="64"/>
      <c r="J3017" s="123">
        <v>0.55020000000000002</v>
      </c>
    </row>
    <row r="3018" spans="1:10">
      <c r="A3018" s="3" t="s">
        <v>13</v>
      </c>
      <c r="B3018" s="103">
        <v>388</v>
      </c>
      <c r="C3018" s="57">
        <v>245</v>
      </c>
      <c r="D3018" s="61">
        <v>0.63139999999999996</v>
      </c>
      <c r="E3018" s="61"/>
      <c r="F3018" s="122">
        <v>0.90380000000000005</v>
      </c>
      <c r="G3018" s="57">
        <v>143</v>
      </c>
      <c r="H3018" s="64">
        <v>0.36859999999999998</v>
      </c>
      <c r="I3018" s="64"/>
      <c r="J3018" s="123">
        <v>9.6199999999999994E-2</v>
      </c>
    </row>
    <row r="3019" spans="1:10" ht="15.75" thickBot="1">
      <c r="A3019" s="3" t="s">
        <v>181</v>
      </c>
      <c r="B3019" s="103">
        <v>428</v>
      </c>
      <c r="C3019" s="105">
        <v>6</v>
      </c>
      <c r="D3019" s="106">
        <v>1.4E-2</v>
      </c>
      <c r="E3019" s="106"/>
      <c r="F3019" s="124">
        <v>0.27050000000000002</v>
      </c>
      <c r="G3019" s="50">
        <v>422</v>
      </c>
      <c r="H3019" s="68">
        <v>0.98599999999999999</v>
      </c>
      <c r="I3019" s="64"/>
      <c r="J3019" s="125">
        <v>0.72950000000000004</v>
      </c>
    </row>
    <row r="3020" spans="1:10" ht="17.25" thickTop="1" thickBot="1">
      <c r="A3020" s="34" t="s">
        <v>175</v>
      </c>
      <c r="B3020" s="126">
        <f>SUM(B3015:B3019)</f>
        <v>548565</v>
      </c>
      <c r="C3020" s="74">
        <f>SUM(C3015:C3019)</f>
        <v>3500</v>
      </c>
      <c r="D3020" s="107">
        <v>6.4000000000000003E-3</v>
      </c>
      <c r="E3020" s="107"/>
      <c r="F3020" s="75">
        <v>0.41260000000000002</v>
      </c>
      <c r="G3020" s="74">
        <f>SUM(G3015:G3019)</f>
        <v>545065</v>
      </c>
      <c r="H3020" s="75">
        <v>0.99360000000000004</v>
      </c>
      <c r="I3020" s="75"/>
      <c r="J3020" s="76">
        <v>0.58740000000000003</v>
      </c>
    </row>
    <row r="3021" spans="1:10" ht="16.5" thickBot="1">
      <c r="A3021" s="22"/>
      <c r="B3021" s="111" t="s">
        <v>249</v>
      </c>
      <c r="C3021" s="22"/>
      <c r="D3021" s="22"/>
      <c r="E3021" s="22"/>
      <c r="F3021" s="22"/>
      <c r="G3021" s="22"/>
      <c r="H3021" s="22"/>
      <c r="I3021" s="22"/>
      <c r="J3021" s="112"/>
    </row>
    <row r="3022" spans="1:10" ht="17.25" thickTop="1" thickBot="1">
      <c r="A3022" s="1" t="s">
        <v>310</v>
      </c>
      <c r="B3022" s="97"/>
      <c r="C3022" s="113" t="s">
        <v>179</v>
      </c>
      <c r="D3022" s="114"/>
      <c r="E3022" s="114"/>
      <c r="F3022" s="115"/>
      <c r="G3022" s="114" t="s">
        <v>180</v>
      </c>
      <c r="H3022" s="114"/>
      <c r="I3022" s="114"/>
      <c r="J3022" s="115"/>
    </row>
    <row r="3023" spans="1:10" ht="15.75" thickTop="1">
      <c r="B3023" s="42" t="s">
        <v>4</v>
      </c>
      <c r="C3023" s="43" t="s">
        <v>5</v>
      </c>
      <c r="D3023" s="44"/>
      <c r="E3023" s="44"/>
      <c r="F3023" s="116" t="s">
        <v>6</v>
      </c>
      <c r="G3023" s="43" t="s">
        <v>7</v>
      </c>
      <c r="H3023" s="46"/>
      <c r="I3023" s="46"/>
      <c r="J3023" s="117" t="s">
        <v>6</v>
      </c>
    </row>
    <row r="3024" spans="1:10" ht="15.75" thickBot="1">
      <c r="B3024" s="49" t="s">
        <v>8</v>
      </c>
      <c r="C3024" s="50" t="s">
        <v>8</v>
      </c>
      <c r="D3024" s="51" t="s">
        <v>9</v>
      </c>
      <c r="E3024" s="51"/>
      <c r="F3024" s="118" t="s">
        <v>9</v>
      </c>
      <c r="G3024" s="53" t="s">
        <v>8</v>
      </c>
      <c r="H3024" s="54" t="s">
        <v>9</v>
      </c>
      <c r="I3024" s="54"/>
      <c r="J3024" s="119" t="s">
        <v>9</v>
      </c>
    </row>
    <row r="3025" spans="1:10" ht="15.75" thickTop="1">
      <c r="C3025" s="43"/>
      <c r="F3025" s="120"/>
      <c r="G3025" s="57"/>
      <c r="J3025" s="121"/>
    </row>
    <row r="3026" spans="1:10">
      <c r="A3026" s="3" t="s">
        <v>10</v>
      </c>
      <c r="B3026" s="103">
        <v>489925</v>
      </c>
      <c r="C3026" s="57">
        <v>44</v>
      </c>
      <c r="D3026" s="61">
        <v>1E-4</v>
      </c>
      <c r="E3026" s="61"/>
      <c r="F3026" s="122">
        <v>1.3999999999999999E-4</v>
      </c>
      <c r="G3026" s="62">
        <v>489881</v>
      </c>
      <c r="H3026" s="64">
        <v>0.99990000000000001</v>
      </c>
      <c r="I3026" s="64"/>
      <c r="J3026" s="123">
        <v>0.99990000000000001</v>
      </c>
    </row>
    <row r="3027" spans="1:10">
      <c r="A3027" s="3" t="s">
        <v>11</v>
      </c>
      <c r="B3027" s="103">
        <v>47119</v>
      </c>
      <c r="C3027" s="57">
        <v>112</v>
      </c>
      <c r="D3027" s="61">
        <v>2.3999999999999998E-3</v>
      </c>
      <c r="E3027" s="61"/>
      <c r="F3027" s="122">
        <v>4.8999999999999998E-3</v>
      </c>
      <c r="G3027" s="62">
        <v>47007</v>
      </c>
      <c r="H3027" s="64">
        <v>0.99760000000000004</v>
      </c>
      <c r="I3027" s="64"/>
      <c r="J3027" s="123">
        <v>0.99509999999999998</v>
      </c>
    </row>
    <row r="3028" spans="1:10">
      <c r="A3028" s="3" t="s">
        <v>12</v>
      </c>
      <c r="B3028" s="103">
        <v>9780</v>
      </c>
      <c r="C3028" s="57">
        <v>2908</v>
      </c>
      <c r="D3028" s="61">
        <v>0.29730000000000001</v>
      </c>
      <c r="E3028" s="61"/>
      <c r="F3028" s="122">
        <v>0.4239</v>
      </c>
      <c r="G3028" s="62">
        <v>6872</v>
      </c>
      <c r="H3028" s="64">
        <v>0.70269999999999999</v>
      </c>
      <c r="I3028" s="64"/>
      <c r="J3028" s="123">
        <v>0.57609999999999995</v>
      </c>
    </row>
    <row r="3029" spans="1:10">
      <c r="A3029" s="3" t="s">
        <v>13</v>
      </c>
      <c r="B3029" s="103">
        <v>385</v>
      </c>
      <c r="C3029" s="57">
        <v>238</v>
      </c>
      <c r="D3029" s="61">
        <v>0.61819999999999997</v>
      </c>
      <c r="E3029" s="61"/>
      <c r="F3029" s="122">
        <v>0.88390000000000002</v>
      </c>
      <c r="G3029" s="57">
        <v>147</v>
      </c>
      <c r="H3029" s="64">
        <v>0.38179999999999997</v>
      </c>
      <c r="I3029" s="64"/>
      <c r="J3029" s="123">
        <v>0.11609999999999999</v>
      </c>
    </row>
    <row r="3030" spans="1:10" ht="15.75" thickBot="1">
      <c r="A3030" s="3" t="s">
        <v>181</v>
      </c>
      <c r="B3030" s="103">
        <v>427</v>
      </c>
      <c r="C3030" s="105">
        <v>5</v>
      </c>
      <c r="D3030" s="106">
        <v>1.17E-2</v>
      </c>
      <c r="E3030" s="106"/>
      <c r="F3030" s="124">
        <v>0.26129999999999998</v>
      </c>
      <c r="G3030" s="50">
        <v>422</v>
      </c>
      <c r="H3030" s="68">
        <v>0.98829999999999996</v>
      </c>
      <c r="I3030" s="64"/>
      <c r="J3030" s="125">
        <v>0.73870000000000002</v>
      </c>
    </row>
    <row r="3031" spans="1:10" ht="17.25" thickTop="1" thickBot="1">
      <c r="A3031" s="34" t="s">
        <v>175</v>
      </c>
      <c r="B3031" s="126">
        <f>SUM(B3026:B3030)</f>
        <v>547636</v>
      </c>
      <c r="C3031" s="74">
        <f>SUM(C3026:C3030)</f>
        <v>3307</v>
      </c>
      <c r="D3031" s="107">
        <v>6.0000000000000001E-3</v>
      </c>
      <c r="E3031" s="107"/>
      <c r="F3031" s="75">
        <v>0.43740000000000001</v>
      </c>
      <c r="G3031" s="74">
        <f>SUM(G3026:G3030)</f>
        <v>544329</v>
      </c>
      <c r="H3031" s="75">
        <v>0.99399999999999999</v>
      </c>
      <c r="I3031" s="75"/>
      <c r="J3031" s="76">
        <v>0.56259999999999999</v>
      </c>
    </row>
    <row r="3032" spans="1:10" ht="16.5" thickBot="1">
      <c r="A3032" s="22"/>
      <c r="B3032" s="111" t="s">
        <v>249</v>
      </c>
      <c r="C3032" s="22"/>
      <c r="D3032" s="22"/>
      <c r="E3032" s="22"/>
      <c r="F3032" s="22"/>
      <c r="G3032" s="22"/>
      <c r="H3032" s="22"/>
      <c r="I3032" s="22"/>
      <c r="J3032" s="112"/>
    </row>
    <row r="3033" spans="1:10" ht="17.25" thickTop="1" thickBot="1">
      <c r="A3033" s="1" t="s">
        <v>311</v>
      </c>
      <c r="B3033" s="97"/>
      <c r="C3033" s="113" t="s">
        <v>179</v>
      </c>
      <c r="D3033" s="114"/>
      <c r="E3033" s="114"/>
      <c r="F3033" s="115"/>
      <c r="G3033" s="114" t="s">
        <v>180</v>
      </c>
      <c r="H3033" s="114"/>
      <c r="I3033" s="114"/>
      <c r="J3033" s="115"/>
    </row>
    <row r="3034" spans="1:10" ht="15.75" thickTop="1">
      <c r="B3034" s="42" t="s">
        <v>4</v>
      </c>
      <c r="C3034" s="43" t="s">
        <v>5</v>
      </c>
      <c r="D3034" s="44"/>
      <c r="E3034" s="44"/>
      <c r="F3034" s="116" t="s">
        <v>6</v>
      </c>
      <c r="G3034" s="43" t="s">
        <v>7</v>
      </c>
      <c r="H3034" s="46"/>
      <c r="I3034" s="46"/>
      <c r="J3034" s="117" t="s">
        <v>6</v>
      </c>
    </row>
    <row r="3035" spans="1:10" ht="15.75" thickBot="1">
      <c r="B3035" s="49" t="s">
        <v>8</v>
      </c>
      <c r="C3035" s="50" t="s">
        <v>8</v>
      </c>
      <c r="D3035" s="51" t="s">
        <v>9</v>
      </c>
      <c r="E3035" s="51"/>
      <c r="F3035" s="118" t="s">
        <v>9</v>
      </c>
      <c r="G3035" s="53" t="s">
        <v>8</v>
      </c>
      <c r="H3035" s="54" t="s">
        <v>9</v>
      </c>
      <c r="I3035" s="54"/>
      <c r="J3035" s="119" t="s">
        <v>9</v>
      </c>
    </row>
    <row r="3036" spans="1:10" ht="15.75" thickTop="1">
      <c r="C3036" s="43"/>
      <c r="F3036" s="120"/>
      <c r="G3036" s="57"/>
      <c r="J3036" s="121"/>
    </row>
    <row r="3037" spans="1:10">
      <c r="A3037" s="3" t="s">
        <v>10</v>
      </c>
      <c r="B3037" s="103">
        <v>488977</v>
      </c>
      <c r="C3037" s="57">
        <v>47</v>
      </c>
      <c r="D3037" s="61">
        <v>1E-4</v>
      </c>
      <c r="E3037" s="61"/>
      <c r="F3037" s="122">
        <v>1E-4</v>
      </c>
      <c r="G3037" s="62">
        <v>488930</v>
      </c>
      <c r="H3037" s="64">
        <v>0.99990000000000001</v>
      </c>
      <c r="I3037" s="64"/>
      <c r="J3037" s="123">
        <v>0.99990000000000001</v>
      </c>
    </row>
    <row r="3038" spans="1:10">
      <c r="A3038" s="3" t="s">
        <v>11</v>
      </c>
      <c r="B3038" s="103">
        <v>46886</v>
      </c>
      <c r="C3038" s="57">
        <v>110</v>
      </c>
      <c r="D3038" s="61">
        <v>2.3E-3</v>
      </c>
      <c r="E3038" s="61"/>
      <c r="F3038" s="122">
        <v>4.1000000000000003E-3</v>
      </c>
      <c r="G3038" s="62">
        <v>46776</v>
      </c>
      <c r="H3038" s="64">
        <v>0.99770000000000003</v>
      </c>
      <c r="I3038" s="64"/>
      <c r="J3038" s="123">
        <v>0.99590000000000001</v>
      </c>
    </row>
    <row r="3039" spans="1:10">
      <c r="A3039" s="3" t="s">
        <v>12</v>
      </c>
      <c r="B3039" s="103">
        <v>9817</v>
      </c>
      <c r="C3039" s="57">
        <v>2808</v>
      </c>
      <c r="D3039" s="61">
        <v>0.28599999999999998</v>
      </c>
      <c r="E3039" s="61"/>
      <c r="F3039" s="122">
        <v>0.40050000000000002</v>
      </c>
      <c r="G3039" s="62">
        <v>7009</v>
      </c>
      <c r="H3039" s="64">
        <v>0.71399999999999997</v>
      </c>
      <c r="I3039" s="64"/>
      <c r="J3039" s="123">
        <v>0.59950000000000003</v>
      </c>
    </row>
    <row r="3040" spans="1:10">
      <c r="A3040" s="3" t="s">
        <v>13</v>
      </c>
      <c r="B3040" s="103">
        <v>379</v>
      </c>
      <c r="C3040" s="57">
        <v>231</v>
      </c>
      <c r="D3040" s="61">
        <v>0.60950000000000004</v>
      </c>
      <c r="E3040" s="61"/>
      <c r="F3040" s="122">
        <v>0.88329999999999997</v>
      </c>
      <c r="G3040" s="57">
        <v>148</v>
      </c>
      <c r="H3040" s="64">
        <v>0.39050000000000001</v>
      </c>
      <c r="I3040" s="64"/>
      <c r="J3040" s="123">
        <v>0.1167</v>
      </c>
    </row>
    <row r="3041" spans="1:10" ht="15.75" thickBot="1">
      <c r="A3041" s="3" t="s">
        <v>181</v>
      </c>
      <c r="B3041" s="103">
        <v>427</v>
      </c>
      <c r="C3041" s="105">
        <v>5</v>
      </c>
      <c r="D3041" s="106">
        <v>1.17E-2</v>
      </c>
      <c r="E3041" s="106"/>
      <c r="F3041" s="124">
        <v>0.2586</v>
      </c>
      <c r="G3041" s="50">
        <v>422</v>
      </c>
      <c r="H3041" s="68">
        <v>0.98829999999999996</v>
      </c>
      <c r="I3041" s="64"/>
      <c r="J3041" s="125">
        <v>0.74139999999999995</v>
      </c>
    </row>
    <row r="3042" spans="1:10" ht="17.25" thickTop="1" thickBot="1">
      <c r="A3042" s="34" t="s">
        <v>175</v>
      </c>
      <c r="B3042" s="126">
        <f>SUM(B3037:B3041)</f>
        <v>546486</v>
      </c>
      <c r="C3042" s="74">
        <f>SUM(C3037:C3041)</f>
        <v>3201</v>
      </c>
      <c r="D3042" s="107">
        <v>5.8999999999999999E-3</v>
      </c>
      <c r="E3042" s="107"/>
      <c r="F3042" s="75">
        <v>0.45650000000000002</v>
      </c>
      <c r="G3042" s="74">
        <f>SUM(G3037:G3041)</f>
        <v>543285</v>
      </c>
      <c r="H3042" s="75">
        <v>0.99409999999999998</v>
      </c>
      <c r="I3042" s="75"/>
      <c r="J3042" s="76">
        <v>0.54349999999999998</v>
      </c>
    </row>
    <row r="3043" spans="1:10" ht="16.5" thickBot="1">
      <c r="A3043" s="22"/>
      <c r="B3043" s="111" t="s">
        <v>249</v>
      </c>
      <c r="C3043" s="22"/>
      <c r="D3043" s="22"/>
      <c r="E3043" s="22"/>
      <c r="F3043" s="22"/>
      <c r="G3043" s="22"/>
      <c r="H3043" s="22"/>
      <c r="I3043" s="22"/>
      <c r="J3043" s="112"/>
    </row>
    <row r="3044" spans="1:10" ht="17.25" thickTop="1" thickBot="1">
      <c r="A3044" s="1" t="s">
        <v>312</v>
      </c>
      <c r="B3044" s="97"/>
      <c r="C3044" s="113" t="s">
        <v>179</v>
      </c>
      <c r="D3044" s="114"/>
      <c r="E3044" s="114"/>
      <c r="F3044" s="115"/>
      <c r="G3044" s="114" t="s">
        <v>180</v>
      </c>
      <c r="H3044" s="114"/>
      <c r="I3044" s="114"/>
      <c r="J3044" s="115"/>
    </row>
    <row r="3045" spans="1:10" ht="15.75" thickTop="1">
      <c r="B3045" s="42" t="s">
        <v>4</v>
      </c>
      <c r="C3045" s="43" t="s">
        <v>5</v>
      </c>
      <c r="D3045" s="44"/>
      <c r="E3045" s="44"/>
      <c r="F3045" s="116" t="s">
        <v>6</v>
      </c>
      <c r="G3045" s="43" t="s">
        <v>7</v>
      </c>
      <c r="H3045" s="46"/>
      <c r="I3045" s="46"/>
      <c r="J3045" s="117" t="s">
        <v>6</v>
      </c>
    </row>
    <row r="3046" spans="1:10" ht="15.75" thickBot="1">
      <c r="B3046" s="49" t="s">
        <v>8</v>
      </c>
      <c r="C3046" s="50" t="s">
        <v>8</v>
      </c>
      <c r="D3046" s="51" t="s">
        <v>9</v>
      </c>
      <c r="E3046" s="51"/>
      <c r="F3046" s="118" t="s">
        <v>9</v>
      </c>
      <c r="G3046" s="53" t="s">
        <v>8</v>
      </c>
      <c r="H3046" s="54" t="s">
        <v>9</v>
      </c>
      <c r="I3046" s="54"/>
      <c r="J3046" s="119" t="s">
        <v>9</v>
      </c>
    </row>
    <row r="3047" spans="1:10" ht="15.75" thickTop="1">
      <c r="C3047" s="43"/>
      <c r="F3047" s="120"/>
      <c r="G3047" s="57"/>
      <c r="J3047" s="121"/>
    </row>
    <row r="3048" spans="1:10">
      <c r="A3048" s="3" t="s">
        <v>10</v>
      </c>
      <c r="B3048" s="103">
        <v>488779</v>
      </c>
      <c r="C3048" s="57">
        <v>53</v>
      </c>
      <c r="D3048" s="61">
        <v>1E-4</v>
      </c>
      <c r="E3048" s="61"/>
      <c r="F3048" s="122">
        <v>1E-4</v>
      </c>
      <c r="G3048" s="62">
        <v>488726</v>
      </c>
      <c r="H3048" s="64">
        <v>0.99990000000000001</v>
      </c>
      <c r="I3048" s="64"/>
      <c r="J3048" s="123">
        <v>0.99990000000000001</v>
      </c>
    </row>
    <row r="3049" spans="1:10">
      <c r="A3049" s="3" t="s">
        <v>11</v>
      </c>
      <c r="B3049" s="103">
        <v>46875</v>
      </c>
      <c r="C3049" s="57">
        <v>112</v>
      </c>
      <c r="D3049" s="61">
        <v>2.3999999999999998E-3</v>
      </c>
      <c r="E3049" s="61"/>
      <c r="F3049" s="122">
        <v>4.1999999999999997E-3</v>
      </c>
      <c r="G3049" s="62">
        <v>46763</v>
      </c>
      <c r="H3049" s="64">
        <v>0.99760000000000004</v>
      </c>
      <c r="I3049" s="64"/>
      <c r="J3049" s="123">
        <v>0.99580000000000002</v>
      </c>
    </row>
    <row r="3050" spans="1:10">
      <c r="A3050" s="3" t="s">
        <v>12</v>
      </c>
      <c r="B3050" s="103">
        <v>9782</v>
      </c>
      <c r="C3050" s="57">
        <v>2644</v>
      </c>
      <c r="D3050" s="61">
        <v>0.27029999999999998</v>
      </c>
      <c r="E3050" s="61"/>
      <c r="F3050" s="122">
        <v>0.35699999999999998</v>
      </c>
      <c r="G3050" s="62">
        <v>7138</v>
      </c>
      <c r="H3050" s="64">
        <v>0.72970000000000002</v>
      </c>
      <c r="I3050" s="64"/>
      <c r="J3050" s="123">
        <v>0.64300000000000002</v>
      </c>
    </row>
    <row r="3051" spans="1:10">
      <c r="A3051" s="3" t="s">
        <v>13</v>
      </c>
      <c r="B3051" s="103">
        <v>378</v>
      </c>
      <c r="C3051" s="57">
        <v>229</v>
      </c>
      <c r="D3051" s="61">
        <v>0.60580000000000001</v>
      </c>
      <c r="E3051" s="61"/>
      <c r="F3051" s="122">
        <v>0.87660000000000005</v>
      </c>
      <c r="G3051" s="57">
        <v>149</v>
      </c>
      <c r="H3051" s="64">
        <v>0.39419999999999999</v>
      </c>
      <c r="I3051" s="64"/>
      <c r="J3051" s="123">
        <v>0.1234</v>
      </c>
    </row>
    <row r="3052" spans="1:10" ht="15.75" thickBot="1">
      <c r="A3052" s="3" t="s">
        <v>181</v>
      </c>
      <c r="B3052" s="103">
        <v>426</v>
      </c>
      <c r="C3052" s="105">
        <v>5</v>
      </c>
      <c r="D3052" s="106">
        <v>1.17E-2</v>
      </c>
      <c r="E3052" s="106"/>
      <c r="F3052" s="124">
        <v>0.245</v>
      </c>
      <c r="G3052" s="50">
        <v>421</v>
      </c>
      <c r="H3052" s="68">
        <v>0.98829999999999996</v>
      </c>
      <c r="I3052" s="64"/>
      <c r="J3052" s="125">
        <v>0.755</v>
      </c>
    </row>
    <row r="3053" spans="1:10" ht="17.25" thickTop="1" thickBot="1">
      <c r="A3053" s="34" t="s">
        <v>175</v>
      </c>
      <c r="B3053" s="126">
        <f>SUM(B3048:B3052)</f>
        <v>546240</v>
      </c>
      <c r="C3053" s="74">
        <f>SUM(C3048:C3052)</f>
        <v>3043</v>
      </c>
      <c r="D3053" s="107">
        <v>5.5999999999999999E-3</v>
      </c>
      <c r="E3053" s="107"/>
      <c r="F3053" s="75">
        <v>0.4526</v>
      </c>
      <c r="G3053" s="74">
        <f>SUM(G3048:G3052)</f>
        <v>543197</v>
      </c>
      <c r="H3053" s="75">
        <v>0.99439999999999995</v>
      </c>
      <c r="I3053" s="75"/>
      <c r="J3053" s="76">
        <v>0.5474</v>
      </c>
    </row>
    <row r="3054" spans="1:10" ht="16.5" thickBot="1">
      <c r="A3054" s="22"/>
      <c r="B3054" s="111" t="s">
        <v>249</v>
      </c>
      <c r="C3054" s="22"/>
      <c r="D3054" s="22"/>
      <c r="E3054" s="22"/>
      <c r="F3054" s="22"/>
      <c r="G3054" s="22"/>
      <c r="H3054" s="22"/>
      <c r="I3054" s="22"/>
      <c r="J3054" s="112"/>
    </row>
    <row r="3055" spans="1:10" ht="17.25" thickTop="1" thickBot="1">
      <c r="A3055" s="1" t="s">
        <v>313</v>
      </c>
      <c r="B3055" s="97"/>
      <c r="C3055" s="113" t="s">
        <v>179</v>
      </c>
      <c r="D3055" s="114"/>
      <c r="E3055" s="114"/>
      <c r="F3055" s="115"/>
      <c r="G3055" s="114" t="s">
        <v>180</v>
      </c>
      <c r="H3055" s="114"/>
      <c r="I3055" s="114"/>
      <c r="J3055" s="115"/>
    </row>
    <row r="3056" spans="1:10" ht="15.75" thickTop="1">
      <c r="B3056" s="42" t="s">
        <v>4</v>
      </c>
      <c r="C3056" s="43" t="s">
        <v>5</v>
      </c>
      <c r="D3056" s="44"/>
      <c r="E3056" s="44"/>
      <c r="F3056" s="116" t="s">
        <v>6</v>
      </c>
      <c r="G3056" s="43" t="s">
        <v>7</v>
      </c>
      <c r="H3056" s="46"/>
      <c r="I3056" s="46"/>
      <c r="J3056" s="117" t="s">
        <v>6</v>
      </c>
    </row>
    <row r="3057" spans="1:10" ht="15.75" thickBot="1">
      <c r="B3057" s="49" t="s">
        <v>8</v>
      </c>
      <c r="C3057" s="50" t="s">
        <v>8</v>
      </c>
      <c r="D3057" s="51" t="s">
        <v>9</v>
      </c>
      <c r="E3057" s="51"/>
      <c r="F3057" s="118" t="s">
        <v>9</v>
      </c>
      <c r="G3057" s="53" t="s">
        <v>8</v>
      </c>
      <c r="H3057" s="54" t="s">
        <v>9</v>
      </c>
      <c r="I3057" s="54"/>
      <c r="J3057" s="119" t="s">
        <v>9</v>
      </c>
    </row>
    <row r="3058" spans="1:10" ht="15.75" thickTop="1">
      <c r="C3058" s="43"/>
      <c r="F3058" s="120"/>
      <c r="G3058" s="57"/>
      <c r="J3058" s="121"/>
    </row>
    <row r="3059" spans="1:10">
      <c r="A3059" s="3" t="s">
        <v>10</v>
      </c>
      <c r="B3059" s="103">
        <v>488292</v>
      </c>
      <c r="C3059" s="57">
        <v>58</v>
      </c>
      <c r="D3059" s="61">
        <v>1E-4</v>
      </c>
      <c r="E3059" s="61"/>
      <c r="F3059" s="122">
        <v>1E-4</v>
      </c>
      <c r="G3059" s="62">
        <v>488234</v>
      </c>
      <c r="H3059" s="64">
        <v>0.99990000000000001</v>
      </c>
      <c r="I3059" s="64"/>
      <c r="J3059" s="123">
        <v>0.99990000000000001</v>
      </c>
    </row>
    <row r="3060" spans="1:10">
      <c r="A3060" s="3" t="s">
        <v>11</v>
      </c>
      <c r="B3060" s="103">
        <v>46860</v>
      </c>
      <c r="C3060" s="57">
        <v>113</v>
      </c>
      <c r="D3060" s="61">
        <v>2.3999999999999998E-3</v>
      </c>
      <c r="E3060" s="61"/>
      <c r="F3060" s="122">
        <v>5.0000000000000001E-3</v>
      </c>
      <c r="G3060" s="62">
        <v>46747</v>
      </c>
      <c r="H3060" s="64">
        <v>0.99760000000000004</v>
      </c>
      <c r="I3060" s="64"/>
      <c r="J3060" s="123">
        <v>0.995</v>
      </c>
    </row>
    <row r="3061" spans="1:10">
      <c r="A3061" s="3" t="s">
        <v>12</v>
      </c>
      <c r="B3061" s="103">
        <v>9761</v>
      </c>
      <c r="C3061" s="57">
        <v>2417</v>
      </c>
      <c r="D3061" s="61">
        <v>0.24759999999999999</v>
      </c>
      <c r="E3061" s="61"/>
      <c r="F3061" s="122">
        <v>0.31630000000000003</v>
      </c>
      <c r="G3061" s="62">
        <v>7344</v>
      </c>
      <c r="H3061" s="64">
        <v>0.75239999999999996</v>
      </c>
      <c r="I3061" s="64"/>
      <c r="J3061" s="123">
        <v>0.68369999999999997</v>
      </c>
    </row>
    <row r="3062" spans="1:10">
      <c r="A3062" s="3" t="s">
        <v>13</v>
      </c>
      <c r="B3062" s="103">
        <v>373</v>
      </c>
      <c r="C3062" s="57">
        <v>213</v>
      </c>
      <c r="D3062" s="61">
        <v>0.57099999999999995</v>
      </c>
      <c r="E3062" s="61"/>
      <c r="F3062" s="122">
        <v>0.85660000000000003</v>
      </c>
      <c r="G3062" s="57">
        <v>160</v>
      </c>
      <c r="H3062" s="64">
        <v>0.42899999999999999</v>
      </c>
      <c r="I3062" s="64"/>
      <c r="J3062" s="123">
        <v>0.1434</v>
      </c>
    </row>
    <row r="3063" spans="1:10" ht="15.75" thickBot="1">
      <c r="A3063" s="3" t="s">
        <v>181</v>
      </c>
      <c r="B3063" s="103">
        <v>425</v>
      </c>
      <c r="C3063" s="105">
        <v>5</v>
      </c>
      <c r="D3063" s="106">
        <v>1.18E-2</v>
      </c>
      <c r="E3063" s="106"/>
      <c r="F3063" s="124">
        <v>0.22270000000000001</v>
      </c>
      <c r="G3063" s="50">
        <v>420</v>
      </c>
      <c r="H3063" s="68">
        <v>0.98819999999999997</v>
      </c>
      <c r="I3063" s="64"/>
      <c r="J3063" s="125">
        <v>0.77729999999999999</v>
      </c>
    </row>
    <row r="3064" spans="1:10" ht="17.25" thickTop="1" thickBot="1">
      <c r="A3064" s="34" t="s">
        <v>175</v>
      </c>
      <c r="B3064" s="126">
        <f>SUM(B3059:B3063)</f>
        <v>545711</v>
      </c>
      <c r="C3064" s="74">
        <f>SUM(C3059:C3063)</f>
        <v>2806</v>
      </c>
      <c r="D3064" s="107">
        <v>5.1000000000000004E-3</v>
      </c>
      <c r="E3064" s="107"/>
      <c r="F3064" s="75">
        <v>0.42830000000000001</v>
      </c>
      <c r="G3064" s="74">
        <f>SUM(G3059:G3063)</f>
        <v>542905</v>
      </c>
      <c r="H3064" s="75">
        <v>0.99490000000000001</v>
      </c>
      <c r="I3064" s="75"/>
      <c r="J3064" s="76">
        <v>0.57169999999999999</v>
      </c>
    </row>
    <row r="3065" spans="1:10" ht="16.5" thickBot="1">
      <c r="A3065" s="22"/>
      <c r="B3065" s="111" t="s">
        <v>249</v>
      </c>
      <c r="C3065" s="22"/>
      <c r="D3065" s="22"/>
      <c r="E3065" s="22"/>
      <c r="F3065" s="22"/>
      <c r="G3065" s="22"/>
      <c r="H3065" s="22"/>
      <c r="I3065" s="22"/>
      <c r="J3065" s="112"/>
    </row>
    <row r="3066" spans="1:10" ht="17.25" thickTop="1" thickBot="1">
      <c r="A3066" s="1" t="s">
        <v>314</v>
      </c>
      <c r="B3066" s="97"/>
      <c r="C3066" s="113" t="s">
        <v>179</v>
      </c>
      <c r="D3066" s="114"/>
      <c r="E3066" s="114"/>
      <c r="F3066" s="115"/>
      <c r="G3066" s="114" t="s">
        <v>180</v>
      </c>
      <c r="H3066" s="114"/>
      <c r="I3066" s="114"/>
      <c r="J3066" s="115"/>
    </row>
    <row r="3067" spans="1:10" ht="15.75" thickTop="1">
      <c r="B3067" s="42" t="s">
        <v>4</v>
      </c>
      <c r="C3067" s="43" t="s">
        <v>5</v>
      </c>
      <c r="D3067" s="44"/>
      <c r="E3067" s="44"/>
      <c r="F3067" s="116" t="s">
        <v>6</v>
      </c>
      <c r="G3067" s="43" t="s">
        <v>7</v>
      </c>
      <c r="H3067" s="46"/>
      <c r="I3067" s="46"/>
      <c r="J3067" s="117" t="s">
        <v>6</v>
      </c>
    </row>
    <row r="3068" spans="1:10" ht="15.75" thickBot="1">
      <c r="B3068" s="49" t="s">
        <v>8</v>
      </c>
      <c r="C3068" s="50" t="s">
        <v>8</v>
      </c>
      <c r="D3068" s="51" t="s">
        <v>9</v>
      </c>
      <c r="E3068" s="51"/>
      <c r="F3068" s="118" t="s">
        <v>9</v>
      </c>
      <c r="G3068" s="53" t="s">
        <v>8</v>
      </c>
      <c r="H3068" s="54" t="s">
        <v>9</v>
      </c>
      <c r="I3068" s="54"/>
      <c r="J3068" s="119" t="s">
        <v>9</v>
      </c>
    </row>
    <row r="3069" spans="1:10" ht="15.75" thickTop="1">
      <c r="C3069" s="43"/>
      <c r="F3069" s="120"/>
      <c r="G3069" s="57"/>
      <c r="J3069" s="121"/>
    </row>
    <row r="3070" spans="1:10">
      <c r="A3070" s="3" t="s">
        <v>10</v>
      </c>
      <c r="B3070" s="103">
        <v>487014</v>
      </c>
      <c r="C3070" s="57">
        <v>62</v>
      </c>
      <c r="D3070" s="61">
        <v>1E-4</v>
      </c>
      <c r="E3070" s="61"/>
      <c r="F3070" s="122">
        <v>1E-4</v>
      </c>
      <c r="G3070" s="62">
        <v>486952</v>
      </c>
      <c r="H3070" s="64">
        <v>0.99990000000000001</v>
      </c>
      <c r="I3070" s="64"/>
      <c r="J3070" s="123">
        <v>0.99990000000000001</v>
      </c>
    </row>
    <row r="3071" spans="1:10">
      <c r="A3071" s="3" t="s">
        <v>11</v>
      </c>
      <c r="B3071" s="103">
        <v>46608</v>
      </c>
      <c r="C3071" s="57">
        <v>101</v>
      </c>
      <c r="D3071" s="61">
        <v>2.2000000000000001E-3</v>
      </c>
      <c r="E3071" s="61"/>
      <c r="F3071" s="122">
        <v>4.8999999999999998E-3</v>
      </c>
      <c r="G3071" s="62">
        <v>46507</v>
      </c>
      <c r="H3071" s="64">
        <v>0.99780000000000002</v>
      </c>
      <c r="I3071" s="64"/>
      <c r="J3071" s="123">
        <v>0.99509999999999998</v>
      </c>
    </row>
    <row r="3072" spans="1:10">
      <c r="A3072" s="3" t="s">
        <v>12</v>
      </c>
      <c r="B3072" s="103">
        <v>9736</v>
      </c>
      <c r="C3072" s="57">
        <v>2291</v>
      </c>
      <c r="D3072" s="61">
        <v>0.23530000000000001</v>
      </c>
      <c r="E3072" s="61"/>
      <c r="F3072" s="122">
        <v>0.29680000000000001</v>
      </c>
      <c r="G3072" s="62">
        <v>7445</v>
      </c>
      <c r="H3072" s="64">
        <v>0.76470000000000005</v>
      </c>
      <c r="I3072" s="64"/>
      <c r="J3072" s="123">
        <v>0.70320000000000005</v>
      </c>
    </row>
    <row r="3073" spans="1:10">
      <c r="A3073" s="3" t="s">
        <v>13</v>
      </c>
      <c r="B3073" s="103">
        <v>369</v>
      </c>
      <c r="C3073" s="57">
        <v>200</v>
      </c>
      <c r="D3073" s="61">
        <v>0.54200000000000004</v>
      </c>
      <c r="E3073" s="61"/>
      <c r="F3073" s="122">
        <v>0.84150000000000003</v>
      </c>
      <c r="G3073" s="57">
        <v>169</v>
      </c>
      <c r="H3073" s="64">
        <v>0.45800000000000002</v>
      </c>
      <c r="I3073" s="64"/>
      <c r="J3073" s="123">
        <v>0.1585</v>
      </c>
    </row>
    <row r="3074" spans="1:10" ht="15.75" thickBot="1">
      <c r="A3074" s="3" t="s">
        <v>181</v>
      </c>
      <c r="B3074" s="103">
        <v>428</v>
      </c>
      <c r="C3074" s="105">
        <v>6</v>
      </c>
      <c r="D3074" s="106">
        <v>1.4E-2</v>
      </c>
      <c r="E3074" s="106"/>
      <c r="F3074" s="124">
        <v>0.21099999999999999</v>
      </c>
      <c r="G3074" s="50">
        <v>422</v>
      </c>
      <c r="H3074" s="68">
        <v>0.98599999999999999</v>
      </c>
      <c r="I3074" s="64"/>
      <c r="J3074" s="125">
        <v>0.78900000000000003</v>
      </c>
    </row>
    <row r="3075" spans="1:10" ht="17.25" thickTop="1" thickBot="1">
      <c r="A3075" s="34" t="s">
        <v>175</v>
      </c>
      <c r="B3075" s="126">
        <f>SUM(B3070:B3074)</f>
        <v>544155</v>
      </c>
      <c r="C3075" s="74">
        <f>SUM(C3070:C3074)</f>
        <v>2660</v>
      </c>
      <c r="D3075" s="107">
        <v>4.8999999999999998E-3</v>
      </c>
      <c r="E3075" s="107"/>
      <c r="F3075" s="75">
        <v>0.40839999999999999</v>
      </c>
      <c r="G3075" s="74">
        <f>SUM(G3070:G3074)</f>
        <v>541495</v>
      </c>
      <c r="H3075" s="75">
        <v>0.99509999999999998</v>
      </c>
      <c r="I3075" s="75"/>
      <c r="J3075" s="76">
        <v>0.59160000000000001</v>
      </c>
    </row>
    <row r="3076" spans="1:10" ht="16.5" thickBot="1">
      <c r="A3076" s="22"/>
      <c r="B3076" s="111" t="s">
        <v>249</v>
      </c>
      <c r="C3076" s="22"/>
      <c r="D3076" s="22"/>
      <c r="E3076" s="22"/>
      <c r="F3076" s="22"/>
      <c r="G3076" s="22"/>
      <c r="H3076" s="22"/>
      <c r="I3076" s="22"/>
      <c r="J3076" s="112"/>
    </row>
    <row r="3077" spans="1:10" ht="17.25" thickTop="1" thickBot="1">
      <c r="A3077" s="1" t="s">
        <v>315</v>
      </c>
      <c r="B3077" s="97"/>
      <c r="C3077" s="113" t="s">
        <v>179</v>
      </c>
      <c r="D3077" s="114"/>
      <c r="E3077" s="114"/>
      <c r="F3077" s="115"/>
      <c r="G3077" s="114" t="s">
        <v>180</v>
      </c>
      <c r="H3077" s="114"/>
      <c r="I3077" s="114"/>
      <c r="J3077" s="115"/>
    </row>
    <row r="3078" spans="1:10" ht="15.75" thickTop="1">
      <c r="B3078" s="42" t="s">
        <v>4</v>
      </c>
      <c r="C3078" s="43" t="s">
        <v>5</v>
      </c>
      <c r="D3078" s="44"/>
      <c r="E3078" s="44"/>
      <c r="F3078" s="116" t="s">
        <v>6</v>
      </c>
      <c r="G3078" s="43" t="s">
        <v>7</v>
      </c>
      <c r="H3078" s="46"/>
      <c r="I3078" s="46"/>
      <c r="J3078" s="117" t="s">
        <v>6</v>
      </c>
    </row>
    <row r="3079" spans="1:10" ht="15.75" thickBot="1">
      <c r="B3079" s="49" t="s">
        <v>8</v>
      </c>
      <c r="C3079" s="50" t="s">
        <v>8</v>
      </c>
      <c r="D3079" s="51" t="s">
        <v>9</v>
      </c>
      <c r="E3079" s="51"/>
      <c r="F3079" s="118" t="s">
        <v>9</v>
      </c>
      <c r="G3079" s="53" t="s">
        <v>8</v>
      </c>
      <c r="H3079" s="54" t="s">
        <v>9</v>
      </c>
      <c r="I3079" s="54"/>
      <c r="J3079" s="119" t="s">
        <v>9</v>
      </c>
    </row>
    <row r="3080" spans="1:10" ht="15.75" thickTop="1">
      <c r="C3080" s="43"/>
      <c r="F3080" s="120"/>
      <c r="G3080" s="57"/>
      <c r="J3080" s="121"/>
    </row>
    <row r="3081" spans="1:10">
      <c r="A3081" s="3" t="s">
        <v>10</v>
      </c>
      <c r="B3081" s="103">
        <v>486650</v>
      </c>
      <c r="C3081" s="57">
        <v>67</v>
      </c>
      <c r="D3081" s="61">
        <v>1E-4</v>
      </c>
      <c r="E3081" s="61"/>
      <c r="F3081" s="122">
        <v>1E-4</v>
      </c>
      <c r="G3081" s="62">
        <v>486583</v>
      </c>
      <c r="H3081" s="64">
        <v>0.99990000000000001</v>
      </c>
      <c r="I3081" s="64"/>
      <c r="J3081" s="123">
        <v>0.99990000000000001</v>
      </c>
    </row>
    <row r="3082" spans="1:10">
      <c r="A3082" s="3" t="s">
        <v>11</v>
      </c>
      <c r="B3082" s="103">
        <v>46454</v>
      </c>
      <c r="C3082" s="57">
        <v>88</v>
      </c>
      <c r="D3082" s="61">
        <v>1.9E-3</v>
      </c>
      <c r="E3082" s="61"/>
      <c r="F3082" s="122">
        <v>2.8E-3</v>
      </c>
      <c r="G3082" s="62">
        <v>46366</v>
      </c>
      <c r="H3082" s="64">
        <v>0.99809999999999999</v>
      </c>
      <c r="I3082" s="64"/>
      <c r="J3082" s="123">
        <v>0.99719999999999998</v>
      </c>
    </row>
    <row r="3083" spans="1:10">
      <c r="A3083" s="3" t="s">
        <v>12</v>
      </c>
      <c r="B3083" s="103">
        <v>9822</v>
      </c>
      <c r="C3083" s="57">
        <v>2133</v>
      </c>
      <c r="D3083" s="61">
        <v>0.2172</v>
      </c>
      <c r="E3083" s="61"/>
      <c r="F3083" s="122">
        <v>0.2923</v>
      </c>
      <c r="G3083" s="62">
        <v>7689</v>
      </c>
      <c r="H3083" s="64">
        <v>0.78280000000000005</v>
      </c>
      <c r="I3083" s="64"/>
      <c r="J3083" s="123">
        <v>0.7077</v>
      </c>
    </row>
    <row r="3084" spans="1:10">
      <c r="A3084" s="3" t="s">
        <v>13</v>
      </c>
      <c r="B3084" s="103">
        <v>365</v>
      </c>
      <c r="C3084" s="57">
        <v>185</v>
      </c>
      <c r="D3084" s="61">
        <v>0.50680000000000003</v>
      </c>
      <c r="E3084" s="61"/>
      <c r="F3084" s="122">
        <v>0.81110000000000004</v>
      </c>
      <c r="G3084" s="57">
        <v>180</v>
      </c>
      <c r="H3084" s="64">
        <v>0.49320000000000003</v>
      </c>
      <c r="I3084" s="64"/>
      <c r="J3084" s="123">
        <v>0.18890000000000001</v>
      </c>
    </row>
    <row r="3085" spans="1:10" ht="15.75" thickBot="1">
      <c r="A3085" s="3" t="s">
        <v>181</v>
      </c>
      <c r="B3085" s="103">
        <v>429</v>
      </c>
      <c r="C3085" s="105">
        <v>6</v>
      </c>
      <c r="D3085" s="106">
        <v>1.4E-2</v>
      </c>
      <c r="E3085" s="106"/>
      <c r="F3085" s="124">
        <v>0.1888</v>
      </c>
      <c r="G3085" s="50">
        <v>423</v>
      </c>
      <c r="H3085" s="68">
        <v>0.98599999999999999</v>
      </c>
      <c r="I3085" s="64"/>
      <c r="J3085" s="125">
        <v>0.81120000000000003</v>
      </c>
    </row>
    <row r="3086" spans="1:10" ht="17.25" thickTop="1" thickBot="1">
      <c r="A3086" s="34" t="s">
        <v>175</v>
      </c>
      <c r="B3086" s="126">
        <f>SUM(B3081:B3085)</f>
        <v>543720</v>
      </c>
      <c r="C3086" s="74">
        <f>SUM(C3081:C3085)</f>
        <v>2479</v>
      </c>
      <c r="D3086" s="107">
        <v>4.5999999999999999E-3</v>
      </c>
      <c r="E3086" s="107"/>
      <c r="F3086" s="75">
        <v>0.38219999999999998</v>
      </c>
      <c r="G3086" s="74">
        <f>SUM(G3081:G3085)</f>
        <v>541241</v>
      </c>
      <c r="H3086" s="75">
        <v>0.99539999999999995</v>
      </c>
      <c r="I3086" s="75"/>
      <c r="J3086" s="76">
        <v>0.61780000000000002</v>
      </c>
    </row>
    <row r="3087" spans="1:10" ht="16.5" thickBot="1">
      <c r="A3087" s="22"/>
      <c r="B3087" s="111" t="s">
        <v>249</v>
      </c>
      <c r="C3087" s="22"/>
      <c r="D3087" s="22"/>
      <c r="E3087" s="22"/>
      <c r="F3087" s="22"/>
      <c r="G3087" s="22"/>
      <c r="H3087" s="22"/>
      <c r="I3087" s="22"/>
      <c r="J3087" s="112"/>
    </row>
    <row r="3088" spans="1:10" ht="17.25" thickTop="1" thickBot="1">
      <c r="A3088" s="1" t="s">
        <v>316</v>
      </c>
      <c r="B3088" s="97"/>
      <c r="C3088" s="113" t="s">
        <v>179</v>
      </c>
      <c r="D3088" s="114"/>
      <c r="E3088" s="114"/>
      <c r="F3088" s="115"/>
      <c r="G3088" s="114" t="s">
        <v>180</v>
      </c>
      <c r="H3088" s="114"/>
      <c r="I3088" s="114"/>
      <c r="J3088" s="115"/>
    </row>
    <row r="3089" spans="1:10" ht="15.75" thickTop="1">
      <c r="B3089" s="42" t="s">
        <v>4</v>
      </c>
      <c r="C3089" s="43" t="s">
        <v>5</v>
      </c>
      <c r="D3089" s="44"/>
      <c r="E3089" s="44"/>
      <c r="F3089" s="116" t="s">
        <v>6</v>
      </c>
      <c r="G3089" s="43" t="s">
        <v>7</v>
      </c>
      <c r="H3089" s="46"/>
      <c r="I3089" s="46"/>
      <c r="J3089" s="117" t="s">
        <v>6</v>
      </c>
    </row>
    <row r="3090" spans="1:10" ht="15.75" thickBot="1">
      <c r="B3090" s="49" t="s">
        <v>8</v>
      </c>
      <c r="C3090" s="50" t="s">
        <v>8</v>
      </c>
      <c r="D3090" s="51" t="s">
        <v>9</v>
      </c>
      <c r="E3090" s="51"/>
      <c r="F3090" s="118" t="s">
        <v>9</v>
      </c>
      <c r="G3090" s="53" t="s">
        <v>8</v>
      </c>
      <c r="H3090" s="54" t="s">
        <v>9</v>
      </c>
      <c r="I3090" s="54"/>
      <c r="J3090" s="119" t="s">
        <v>9</v>
      </c>
    </row>
    <row r="3091" spans="1:10" ht="15.75" thickTop="1">
      <c r="C3091" s="43"/>
      <c r="F3091" s="120"/>
      <c r="G3091" s="57"/>
      <c r="J3091" s="121"/>
    </row>
    <row r="3092" spans="1:10">
      <c r="A3092" s="3" t="s">
        <v>10</v>
      </c>
      <c r="B3092" s="103">
        <v>486353</v>
      </c>
      <c r="C3092" s="57">
        <v>78</v>
      </c>
      <c r="D3092" s="61">
        <v>2.0000000000000001E-4</v>
      </c>
      <c r="E3092" s="61"/>
      <c r="F3092" s="122">
        <v>2.0000000000000001E-4</v>
      </c>
      <c r="G3092" s="62">
        <v>486275</v>
      </c>
      <c r="H3092" s="64">
        <v>0.99980000000000002</v>
      </c>
      <c r="I3092" s="64"/>
      <c r="J3092" s="123">
        <v>0.99980000000000002</v>
      </c>
    </row>
    <row r="3093" spans="1:10">
      <c r="A3093" s="3" t="s">
        <v>11</v>
      </c>
      <c r="B3093" s="103">
        <v>46142</v>
      </c>
      <c r="C3093" s="57">
        <v>72</v>
      </c>
      <c r="D3093" s="61">
        <v>1.6000000000000001E-3</v>
      </c>
      <c r="E3093" s="61"/>
      <c r="F3093" s="122">
        <v>2E-3</v>
      </c>
      <c r="G3093" s="62">
        <v>46070</v>
      </c>
      <c r="H3093" s="64">
        <v>0.99839999999999995</v>
      </c>
      <c r="I3093" s="64"/>
      <c r="J3093" s="123">
        <v>0.998</v>
      </c>
    </row>
    <row r="3094" spans="1:10">
      <c r="A3094" s="3" t="s">
        <v>12</v>
      </c>
      <c r="B3094" s="103">
        <v>9999</v>
      </c>
      <c r="C3094" s="57">
        <v>1562</v>
      </c>
      <c r="D3094" s="61">
        <v>0.15620000000000001</v>
      </c>
      <c r="E3094" s="61"/>
      <c r="F3094" s="122">
        <v>0.22589999999999999</v>
      </c>
      <c r="G3094" s="62">
        <v>8437</v>
      </c>
      <c r="H3094" s="64">
        <v>0.84379999999999999</v>
      </c>
      <c r="I3094" s="64"/>
      <c r="J3094" s="123">
        <v>0.77410000000000001</v>
      </c>
    </row>
    <row r="3095" spans="1:10">
      <c r="A3095" s="3" t="s">
        <v>13</v>
      </c>
      <c r="B3095" s="103">
        <v>370</v>
      </c>
      <c r="C3095" s="57">
        <v>180</v>
      </c>
      <c r="D3095" s="61">
        <v>0.48649999999999999</v>
      </c>
      <c r="E3095" s="61"/>
      <c r="F3095" s="122">
        <v>0.82820000000000005</v>
      </c>
      <c r="G3095" s="57">
        <v>190</v>
      </c>
      <c r="H3095" s="64">
        <v>0.51349999999999996</v>
      </c>
      <c r="I3095" s="64"/>
      <c r="J3095" s="123">
        <v>0.17180000000000001</v>
      </c>
    </row>
    <row r="3096" spans="1:10" ht="15.75" thickBot="1">
      <c r="A3096" s="3" t="s">
        <v>181</v>
      </c>
      <c r="B3096" s="103">
        <v>425</v>
      </c>
      <c r="C3096" s="105">
        <v>3</v>
      </c>
      <c r="D3096" s="106">
        <v>7.1000000000000004E-3</v>
      </c>
      <c r="E3096" s="106"/>
      <c r="F3096" s="124">
        <v>0.1598</v>
      </c>
      <c r="G3096" s="50">
        <v>422</v>
      </c>
      <c r="H3096" s="68">
        <v>0.9929</v>
      </c>
      <c r="I3096" s="64"/>
      <c r="J3096" s="125">
        <v>0.84019999999999995</v>
      </c>
    </row>
    <row r="3097" spans="1:10" ht="17.25" thickTop="1" thickBot="1">
      <c r="A3097" s="34" t="s">
        <v>175</v>
      </c>
      <c r="B3097" s="126">
        <f>SUM(B3092:B3096)</f>
        <v>543289</v>
      </c>
      <c r="C3097" s="74">
        <v>1895</v>
      </c>
      <c r="D3097" s="107">
        <v>3.5000000000000001E-3</v>
      </c>
      <c r="E3097" s="107"/>
      <c r="F3097" s="75">
        <v>0.4073</v>
      </c>
      <c r="G3097" s="74">
        <f>SUM(G3092:G3096)</f>
        <v>541394</v>
      </c>
      <c r="H3097" s="75">
        <v>0.99650000000000005</v>
      </c>
      <c r="I3097" s="75"/>
      <c r="J3097" s="76">
        <v>0.5927</v>
      </c>
    </row>
    <row r="3098" spans="1:10" ht="16.5" thickBot="1">
      <c r="A3098" s="22"/>
      <c r="B3098" s="111" t="s">
        <v>249</v>
      </c>
      <c r="C3098" s="22"/>
      <c r="D3098" s="22"/>
      <c r="E3098" s="22"/>
      <c r="F3098" s="22"/>
      <c r="G3098" s="22"/>
      <c r="H3098" s="22"/>
      <c r="I3098" s="22"/>
      <c r="J3098" s="112"/>
    </row>
    <row r="3099" spans="1:10" ht="17.25" thickTop="1" thickBot="1">
      <c r="A3099" s="1" t="s">
        <v>317</v>
      </c>
      <c r="B3099" s="97"/>
      <c r="C3099" s="113" t="s">
        <v>179</v>
      </c>
      <c r="D3099" s="114"/>
      <c r="E3099" s="114"/>
      <c r="F3099" s="115"/>
      <c r="G3099" s="114" t="s">
        <v>180</v>
      </c>
      <c r="H3099" s="114"/>
      <c r="I3099" s="114"/>
      <c r="J3099" s="115"/>
    </row>
    <row r="3100" spans="1:10" ht="15.75" thickTop="1">
      <c r="B3100" s="42" t="s">
        <v>4</v>
      </c>
      <c r="C3100" s="43" t="s">
        <v>5</v>
      </c>
      <c r="D3100" s="44"/>
      <c r="E3100" s="44"/>
      <c r="F3100" s="116" t="s">
        <v>6</v>
      </c>
      <c r="G3100" s="43" t="s">
        <v>7</v>
      </c>
      <c r="H3100" s="46"/>
      <c r="I3100" s="46"/>
      <c r="J3100" s="117" t="s">
        <v>6</v>
      </c>
    </row>
    <row r="3101" spans="1:10" ht="15.75" thickBot="1">
      <c r="B3101" s="49" t="s">
        <v>8</v>
      </c>
      <c r="C3101" s="50" t="s">
        <v>8</v>
      </c>
      <c r="D3101" s="51" t="s">
        <v>9</v>
      </c>
      <c r="E3101" s="51"/>
      <c r="F3101" s="118" t="s">
        <v>9</v>
      </c>
      <c r="G3101" s="53" t="s">
        <v>8</v>
      </c>
      <c r="H3101" s="54" t="s">
        <v>9</v>
      </c>
      <c r="I3101" s="54"/>
      <c r="J3101" s="119" t="s">
        <v>9</v>
      </c>
    </row>
    <row r="3102" spans="1:10" ht="15.75" thickTop="1">
      <c r="C3102" s="43"/>
      <c r="F3102" s="120"/>
      <c r="G3102" s="57"/>
      <c r="J3102" s="121"/>
    </row>
    <row r="3103" spans="1:10">
      <c r="A3103" s="3" t="s">
        <v>10</v>
      </c>
      <c r="B3103" s="103">
        <v>486390</v>
      </c>
      <c r="C3103" s="57">
        <v>86</v>
      </c>
      <c r="D3103" s="61">
        <v>2.0000000000000001E-4</v>
      </c>
      <c r="E3103" s="61"/>
      <c r="F3103" s="122">
        <v>2.0000000000000001E-4</v>
      </c>
      <c r="G3103" s="62">
        <v>486304</v>
      </c>
      <c r="H3103" s="64">
        <v>0.99980000000000002</v>
      </c>
      <c r="I3103" s="64"/>
      <c r="J3103" s="123">
        <v>0.99980000000000002</v>
      </c>
    </row>
    <row r="3104" spans="1:10">
      <c r="A3104" s="3" t="s">
        <v>11</v>
      </c>
      <c r="B3104" s="103">
        <v>45913</v>
      </c>
      <c r="C3104" s="57">
        <v>73</v>
      </c>
      <c r="D3104" s="61">
        <v>1.6000000000000001E-3</v>
      </c>
      <c r="E3104" s="61"/>
      <c r="F3104" s="122">
        <v>2.8E-3</v>
      </c>
      <c r="G3104" s="62">
        <v>45840</v>
      </c>
      <c r="H3104" s="64">
        <v>0.99839999999999995</v>
      </c>
      <c r="I3104" s="64"/>
      <c r="J3104" s="123">
        <v>0.99719999999999998</v>
      </c>
    </row>
    <row r="3105" spans="1:10">
      <c r="A3105" s="3" t="s">
        <v>12</v>
      </c>
      <c r="B3105" s="103">
        <v>10025</v>
      </c>
      <c r="C3105" s="57">
        <v>1575</v>
      </c>
      <c r="D3105" s="61">
        <v>0.15709999999999999</v>
      </c>
      <c r="E3105" s="61"/>
      <c r="F3105" s="122">
        <v>0.2384</v>
      </c>
      <c r="G3105" s="62">
        <v>8450</v>
      </c>
      <c r="H3105" s="64">
        <v>0.84289999999999998</v>
      </c>
      <c r="I3105" s="64"/>
      <c r="J3105" s="123">
        <v>0.76160000000000005</v>
      </c>
    </row>
    <row r="3106" spans="1:10">
      <c r="A3106" s="3" t="s">
        <v>13</v>
      </c>
      <c r="B3106" s="103">
        <v>366</v>
      </c>
      <c r="C3106" s="57">
        <v>165</v>
      </c>
      <c r="D3106" s="61">
        <v>0.45079999999999998</v>
      </c>
      <c r="E3106" s="61"/>
      <c r="F3106" s="122">
        <v>0.7732</v>
      </c>
      <c r="G3106" s="57">
        <v>201</v>
      </c>
      <c r="H3106" s="64">
        <v>0.54920000000000002</v>
      </c>
      <c r="I3106" s="64"/>
      <c r="J3106" s="123">
        <v>0.2268</v>
      </c>
    </row>
    <row r="3107" spans="1:10" ht="15.75" thickBot="1">
      <c r="A3107" s="3" t="s">
        <v>181</v>
      </c>
      <c r="B3107" s="103">
        <v>426</v>
      </c>
      <c r="C3107" s="105">
        <v>4</v>
      </c>
      <c r="D3107" s="106">
        <v>9.4000000000000004E-3</v>
      </c>
      <c r="E3107" s="106"/>
      <c r="F3107" s="124">
        <v>0.159</v>
      </c>
      <c r="G3107" s="50">
        <v>422</v>
      </c>
      <c r="H3107" s="68">
        <v>0.99060000000000004</v>
      </c>
      <c r="I3107" s="64"/>
      <c r="J3107" s="125">
        <v>0.84099999999999997</v>
      </c>
    </row>
    <row r="3108" spans="1:10" ht="17.25" thickTop="1" thickBot="1">
      <c r="A3108" s="34" t="s">
        <v>175</v>
      </c>
      <c r="B3108" s="126">
        <f>SUM(B3103:B3107)</f>
        <v>543120</v>
      </c>
      <c r="C3108" s="74">
        <f>SUM(C3103:C3107)</f>
        <v>1903</v>
      </c>
      <c r="D3108" s="107">
        <v>3.5000000000000001E-3</v>
      </c>
      <c r="E3108" s="107"/>
      <c r="F3108" s="75">
        <v>0.38290000000000002</v>
      </c>
      <c r="G3108" s="74">
        <f>SUM(G3103:G3107)</f>
        <v>541217</v>
      </c>
      <c r="H3108" s="75">
        <v>0.99650000000000005</v>
      </c>
      <c r="I3108" s="75"/>
      <c r="J3108" s="76">
        <v>0.61709999999999998</v>
      </c>
    </row>
    <row r="3109" spans="1:10" ht="16.5" thickBot="1">
      <c r="A3109" s="22"/>
      <c r="B3109" s="111" t="s">
        <v>249</v>
      </c>
      <c r="C3109" s="22"/>
      <c r="D3109" s="22"/>
      <c r="E3109" s="22"/>
      <c r="F3109" s="22"/>
      <c r="G3109" s="22"/>
      <c r="H3109" s="22"/>
      <c r="I3109" s="22"/>
      <c r="J3109" s="112"/>
    </row>
    <row r="3110" spans="1:10" ht="17.25" thickTop="1" thickBot="1">
      <c r="A3110" s="1" t="s">
        <v>318</v>
      </c>
      <c r="B3110" s="97"/>
      <c r="C3110" s="113" t="s">
        <v>179</v>
      </c>
      <c r="D3110" s="114"/>
      <c r="E3110" s="114"/>
      <c r="F3110" s="115"/>
      <c r="G3110" s="114" t="s">
        <v>180</v>
      </c>
      <c r="H3110" s="114"/>
      <c r="I3110" s="114"/>
      <c r="J3110" s="115"/>
    </row>
    <row r="3111" spans="1:10" ht="15.75" thickTop="1">
      <c r="B3111" s="42" t="s">
        <v>4</v>
      </c>
      <c r="C3111" s="43" t="s">
        <v>5</v>
      </c>
      <c r="D3111" s="44"/>
      <c r="E3111" s="44"/>
      <c r="F3111" s="116" t="s">
        <v>6</v>
      </c>
      <c r="G3111" s="43" t="s">
        <v>7</v>
      </c>
      <c r="H3111" s="46"/>
      <c r="I3111" s="46"/>
      <c r="J3111" s="117" t="s">
        <v>6</v>
      </c>
    </row>
    <row r="3112" spans="1:10" ht="15.75" thickBot="1">
      <c r="B3112" s="49" t="s">
        <v>8</v>
      </c>
      <c r="C3112" s="50" t="s">
        <v>8</v>
      </c>
      <c r="D3112" s="51" t="s">
        <v>9</v>
      </c>
      <c r="E3112" s="51"/>
      <c r="F3112" s="118" t="s">
        <v>9</v>
      </c>
      <c r="G3112" s="53" t="s">
        <v>8</v>
      </c>
      <c r="H3112" s="54" t="s">
        <v>9</v>
      </c>
      <c r="I3112" s="54"/>
      <c r="J3112" s="119" t="s">
        <v>9</v>
      </c>
    </row>
    <row r="3113" spans="1:10" ht="15.75" thickTop="1">
      <c r="C3113" s="43"/>
      <c r="F3113" s="120"/>
      <c r="G3113" s="57"/>
      <c r="J3113" s="121"/>
    </row>
    <row r="3114" spans="1:10">
      <c r="A3114" s="3" t="s">
        <v>10</v>
      </c>
      <c r="B3114" s="103">
        <v>486283</v>
      </c>
      <c r="C3114" s="57">
        <v>84</v>
      </c>
      <c r="D3114" s="61">
        <v>2.0000000000000001E-4</v>
      </c>
      <c r="E3114" s="61"/>
      <c r="F3114" s="122">
        <v>2.0000000000000001E-4</v>
      </c>
      <c r="G3114" s="62">
        <v>486199</v>
      </c>
      <c r="H3114" s="64">
        <v>0.99980000000000002</v>
      </c>
      <c r="I3114" s="64"/>
      <c r="J3114" s="123">
        <v>0.99980000000000002</v>
      </c>
    </row>
    <row r="3115" spans="1:10">
      <c r="A3115" s="3" t="s">
        <v>11</v>
      </c>
      <c r="B3115" s="103">
        <v>45114</v>
      </c>
      <c r="C3115" s="57">
        <v>74</v>
      </c>
      <c r="D3115" s="61">
        <v>1.6000000000000001E-3</v>
      </c>
      <c r="E3115" s="61"/>
      <c r="F3115" s="122">
        <v>3.0000000000000001E-3</v>
      </c>
      <c r="G3115" s="62">
        <v>45040</v>
      </c>
      <c r="H3115" s="64">
        <v>0.99839999999999995</v>
      </c>
      <c r="I3115" s="64"/>
      <c r="J3115" s="123">
        <v>0.997</v>
      </c>
    </row>
    <row r="3116" spans="1:10">
      <c r="A3116" s="3" t="s">
        <v>12</v>
      </c>
      <c r="B3116" s="103">
        <v>10686</v>
      </c>
      <c r="C3116" s="57">
        <v>1527</v>
      </c>
      <c r="D3116" s="61">
        <v>0.1429</v>
      </c>
      <c r="E3116" s="61"/>
      <c r="F3116" s="122">
        <v>0.20760000000000001</v>
      </c>
      <c r="G3116" s="62">
        <v>9159</v>
      </c>
      <c r="H3116" s="64">
        <v>0.85709999999999997</v>
      </c>
      <c r="I3116" s="64"/>
      <c r="J3116" s="123">
        <v>0.79239999999999999</v>
      </c>
    </row>
    <row r="3117" spans="1:10">
      <c r="A3117" s="3" t="s">
        <v>13</v>
      </c>
      <c r="B3117" s="103">
        <v>366</v>
      </c>
      <c r="C3117" s="57">
        <v>164</v>
      </c>
      <c r="D3117" s="61">
        <v>0.4481</v>
      </c>
      <c r="E3117" s="61"/>
      <c r="F3117" s="122">
        <v>0.75249999999999995</v>
      </c>
      <c r="G3117" s="57">
        <v>202</v>
      </c>
      <c r="H3117" s="64">
        <v>0.55189999999999995</v>
      </c>
      <c r="I3117" s="64"/>
      <c r="J3117" s="123">
        <v>0.2475</v>
      </c>
    </row>
    <row r="3118" spans="1:10" ht="15.75" thickBot="1">
      <c r="A3118" s="3" t="s">
        <v>181</v>
      </c>
      <c r="B3118" s="103">
        <v>426</v>
      </c>
      <c r="C3118" s="105">
        <v>5</v>
      </c>
      <c r="D3118" s="106">
        <v>1.17E-2</v>
      </c>
      <c r="E3118" s="106"/>
      <c r="F3118" s="124">
        <v>0.14899999999999999</v>
      </c>
      <c r="G3118" s="50">
        <v>421</v>
      </c>
      <c r="H3118" s="68">
        <v>0.98829999999999996</v>
      </c>
      <c r="I3118" s="64"/>
      <c r="J3118" s="125">
        <v>0.85099999999999998</v>
      </c>
    </row>
    <row r="3119" spans="1:10" ht="17.25" thickTop="1" thickBot="1">
      <c r="A3119" s="34" t="s">
        <v>175</v>
      </c>
      <c r="B3119" s="126">
        <f>SUM(B3114:B3118)</f>
        <v>542875</v>
      </c>
      <c r="C3119" s="74">
        <f>SUM(C3114:C3118)</f>
        <v>1854</v>
      </c>
      <c r="D3119" s="107">
        <v>3.3999999999999998E-3</v>
      </c>
      <c r="E3119" s="107"/>
      <c r="F3119" s="75">
        <v>0.34449999999999997</v>
      </c>
      <c r="G3119" s="74">
        <f>SUM(G3114:G3118)</f>
        <v>541021</v>
      </c>
      <c r="H3119" s="75">
        <v>0.99660000000000004</v>
      </c>
      <c r="I3119" s="75"/>
      <c r="J3119" s="76">
        <v>0.65549999999999997</v>
      </c>
    </row>
    <row r="3120" spans="1:10" ht="15.75">
      <c r="A3120" s="22"/>
      <c r="B3120" s="111"/>
      <c r="C3120" s="22"/>
      <c r="D3120" s="22"/>
      <c r="E3120" s="22"/>
      <c r="F3120" s="22"/>
      <c r="G3120" s="22"/>
      <c r="H3120" s="22"/>
      <c r="I3120" s="22"/>
      <c r="J3120" s="112"/>
    </row>
    <row r="3121" spans="1:10" ht="16.5" thickBot="1">
      <c r="A3121" s="1"/>
    </row>
    <row r="3122" spans="1:10" ht="17.25" thickTop="1" thickBot="1">
      <c r="A3122" s="1" t="s">
        <v>319</v>
      </c>
      <c r="B3122" s="97"/>
      <c r="C3122" s="113" t="s">
        <v>179</v>
      </c>
      <c r="D3122" s="114"/>
      <c r="E3122" s="114"/>
      <c r="F3122" s="115"/>
      <c r="G3122" s="114" t="s">
        <v>180</v>
      </c>
      <c r="H3122" s="114"/>
      <c r="I3122" s="114"/>
      <c r="J3122" s="115"/>
    </row>
    <row r="3123" spans="1:10" ht="15.75" thickTop="1">
      <c r="B3123" s="42" t="s">
        <v>4</v>
      </c>
      <c r="C3123" s="43" t="s">
        <v>5</v>
      </c>
      <c r="D3123" s="44"/>
      <c r="E3123" s="44"/>
      <c r="F3123" s="116" t="s">
        <v>6</v>
      </c>
      <c r="G3123" s="43" t="s">
        <v>7</v>
      </c>
      <c r="H3123" s="46"/>
      <c r="I3123" s="46"/>
      <c r="J3123" s="117" t="s">
        <v>6</v>
      </c>
    </row>
    <row r="3124" spans="1:10" ht="15.75" thickBot="1">
      <c r="B3124" s="49" t="s">
        <v>8</v>
      </c>
      <c r="C3124" s="50" t="s">
        <v>8</v>
      </c>
      <c r="D3124" s="51" t="s">
        <v>9</v>
      </c>
      <c r="E3124" s="51"/>
      <c r="F3124" s="118" t="s">
        <v>9</v>
      </c>
      <c r="G3124" s="53" t="s">
        <v>8</v>
      </c>
      <c r="H3124" s="54" t="s">
        <v>9</v>
      </c>
      <c r="I3124" s="54"/>
      <c r="J3124" s="119" t="s">
        <v>9</v>
      </c>
    </row>
    <row r="3125" spans="1:10" ht="15.75" thickTop="1">
      <c r="C3125" s="43"/>
      <c r="F3125" s="120"/>
      <c r="G3125" s="57"/>
      <c r="J3125" s="121"/>
    </row>
    <row r="3126" spans="1:10">
      <c r="A3126" s="3" t="s">
        <v>10</v>
      </c>
      <c r="B3126" s="103">
        <v>486080</v>
      </c>
      <c r="C3126" s="57">
        <v>81</v>
      </c>
      <c r="D3126" s="61">
        <v>2.0000000000000001E-4</v>
      </c>
      <c r="E3126" s="61"/>
      <c r="F3126" s="122">
        <v>2.0000000000000001E-4</v>
      </c>
      <c r="G3126" s="62">
        <v>485999</v>
      </c>
      <c r="H3126" s="64">
        <v>0.99980000000000002</v>
      </c>
      <c r="I3126" s="64"/>
      <c r="J3126" s="123">
        <v>0.99980000000000002</v>
      </c>
    </row>
    <row r="3127" spans="1:10">
      <c r="A3127" s="3" t="s">
        <v>11</v>
      </c>
      <c r="B3127" s="103">
        <v>45025</v>
      </c>
      <c r="C3127" s="57">
        <v>63</v>
      </c>
      <c r="D3127" s="61">
        <v>1.4E-3</v>
      </c>
      <c r="E3127" s="61"/>
      <c r="F3127" s="122">
        <v>2.8999999999999998E-3</v>
      </c>
      <c r="G3127" s="62">
        <v>44962</v>
      </c>
      <c r="H3127" s="64">
        <v>0.99860000000000004</v>
      </c>
      <c r="I3127" s="64"/>
      <c r="J3127" s="123">
        <v>0.99709999999999999</v>
      </c>
    </row>
    <row r="3128" spans="1:10">
      <c r="A3128" s="3" t="s">
        <v>12</v>
      </c>
      <c r="B3128" s="103">
        <v>10716</v>
      </c>
      <c r="C3128" s="57">
        <v>934</v>
      </c>
      <c r="D3128" s="61">
        <v>8.72E-2</v>
      </c>
      <c r="E3128" s="61"/>
      <c r="F3128" s="122">
        <v>0.1429</v>
      </c>
      <c r="G3128" s="62">
        <v>9782</v>
      </c>
      <c r="H3128" s="64">
        <v>0.91279999999999994</v>
      </c>
      <c r="I3128" s="64"/>
      <c r="J3128" s="123">
        <v>0.85709999999999997</v>
      </c>
    </row>
    <row r="3129" spans="1:10">
      <c r="A3129" s="3" t="s">
        <v>13</v>
      </c>
      <c r="B3129" s="103">
        <v>367</v>
      </c>
      <c r="C3129" s="57">
        <v>122</v>
      </c>
      <c r="D3129" s="61">
        <v>0.33239999999999997</v>
      </c>
      <c r="E3129" s="61"/>
      <c r="F3129" s="122">
        <v>0.62949999999999995</v>
      </c>
      <c r="G3129" s="57">
        <v>245</v>
      </c>
      <c r="H3129" s="64">
        <v>0.66759999999999997</v>
      </c>
      <c r="I3129" s="64"/>
      <c r="J3129" s="123">
        <v>0.3705</v>
      </c>
    </row>
    <row r="3130" spans="1:10" ht="15.75" thickBot="1">
      <c r="A3130" s="3" t="s">
        <v>181</v>
      </c>
      <c r="B3130" s="103">
        <v>426</v>
      </c>
      <c r="C3130" s="105">
        <v>5</v>
      </c>
      <c r="D3130" s="106">
        <v>1.17E-2</v>
      </c>
      <c r="E3130" s="106"/>
      <c r="F3130" s="124">
        <v>0.122</v>
      </c>
      <c r="G3130" s="50">
        <v>421</v>
      </c>
      <c r="H3130" s="68">
        <v>0.98829999999999996</v>
      </c>
      <c r="I3130" s="64"/>
      <c r="J3130" s="125">
        <v>0.878</v>
      </c>
    </row>
    <row r="3131" spans="1:10" ht="17.25" thickTop="1" thickBot="1">
      <c r="A3131" s="34" t="s">
        <v>175</v>
      </c>
      <c r="B3131" s="126">
        <f>SUM(B3126:B3130)</f>
        <v>542614</v>
      </c>
      <c r="C3131" s="74">
        <f>SUM(C3126:C3130)</f>
        <v>1205</v>
      </c>
      <c r="D3131" s="107">
        <v>2.2000000000000001E-3</v>
      </c>
      <c r="E3131" s="107"/>
      <c r="F3131" s="75">
        <v>0.27889999999999998</v>
      </c>
      <c r="G3131" s="74">
        <f>SUM(G3126:G3130)</f>
        <v>541409</v>
      </c>
      <c r="H3131" s="75">
        <v>0.99780000000000002</v>
      </c>
      <c r="I3131" s="75"/>
      <c r="J3131" s="76">
        <v>0.72109999999999996</v>
      </c>
    </row>
    <row r="3132" spans="1:10" ht="16.5" thickBot="1">
      <c r="A3132" s="1"/>
    </row>
    <row r="3133" spans="1:10" ht="17.25" thickTop="1" thickBot="1">
      <c r="A3133" s="1" t="s">
        <v>320</v>
      </c>
      <c r="B3133" s="97"/>
      <c r="C3133" s="113" t="s">
        <v>179</v>
      </c>
      <c r="D3133" s="114"/>
      <c r="E3133" s="114"/>
      <c r="F3133" s="115"/>
      <c r="G3133" s="114" t="s">
        <v>180</v>
      </c>
      <c r="H3133" s="114"/>
      <c r="I3133" s="114"/>
      <c r="J3133" s="115"/>
    </row>
    <row r="3134" spans="1:10" ht="15.75" thickTop="1">
      <c r="B3134" s="42" t="s">
        <v>4</v>
      </c>
      <c r="C3134" s="43" t="s">
        <v>5</v>
      </c>
      <c r="D3134" s="44"/>
      <c r="E3134" s="44"/>
      <c r="F3134" s="116" t="s">
        <v>6</v>
      </c>
      <c r="G3134" s="43" t="s">
        <v>7</v>
      </c>
      <c r="H3134" s="46"/>
      <c r="I3134" s="46"/>
      <c r="J3134" s="117" t="s">
        <v>6</v>
      </c>
    </row>
    <row r="3135" spans="1:10" ht="15.75" thickBot="1">
      <c r="B3135" s="49" t="s">
        <v>8</v>
      </c>
      <c r="C3135" s="50" t="s">
        <v>8</v>
      </c>
      <c r="D3135" s="51" t="s">
        <v>9</v>
      </c>
      <c r="E3135" s="51"/>
      <c r="F3135" s="118" t="s">
        <v>9</v>
      </c>
      <c r="G3135" s="53" t="s">
        <v>8</v>
      </c>
      <c r="H3135" s="54" t="s">
        <v>9</v>
      </c>
      <c r="I3135" s="54"/>
      <c r="J3135" s="119" t="s">
        <v>9</v>
      </c>
    </row>
    <row r="3136" spans="1:10" ht="15.75" thickTop="1">
      <c r="C3136" s="43"/>
      <c r="F3136" s="120"/>
      <c r="G3136" s="57"/>
      <c r="J3136" s="121"/>
    </row>
    <row r="3137" spans="1:10">
      <c r="A3137" s="3" t="s">
        <v>10</v>
      </c>
      <c r="B3137" s="103">
        <v>485886</v>
      </c>
      <c r="C3137" s="57">
        <v>73</v>
      </c>
      <c r="D3137" s="61">
        <v>2.0000000000000001E-4</v>
      </c>
      <c r="E3137" s="61"/>
      <c r="F3137" s="122">
        <v>1E-4</v>
      </c>
      <c r="G3137" s="62">
        <v>485813</v>
      </c>
      <c r="H3137" s="64">
        <v>0.99980000000000002</v>
      </c>
      <c r="I3137" s="64"/>
      <c r="J3137" s="123">
        <v>0.99990000000000001</v>
      </c>
    </row>
    <row r="3138" spans="1:10">
      <c r="A3138" s="3" t="s">
        <v>11</v>
      </c>
      <c r="B3138" s="103">
        <v>44893</v>
      </c>
      <c r="C3138" s="57">
        <v>64</v>
      </c>
      <c r="D3138" s="61">
        <v>1.4E-3</v>
      </c>
      <c r="E3138" s="61"/>
      <c r="F3138" s="122">
        <v>2E-3</v>
      </c>
      <c r="G3138" s="62">
        <v>44829</v>
      </c>
      <c r="H3138" s="64">
        <v>0.99860000000000004</v>
      </c>
      <c r="I3138" s="64"/>
      <c r="J3138" s="123">
        <v>0.998</v>
      </c>
    </row>
    <row r="3139" spans="1:10">
      <c r="A3139" s="3" t="s">
        <v>12</v>
      </c>
      <c r="B3139" s="103">
        <v>10742</v>
      </c>
      <c r="C3139" s="57">
        <v>949</v>
      </c>
      <c r="D3139" s="61">
        <v>8.8300000000000003E-2</v>
      </c>
      <c r="E3139" s="61"/>
      <c r="F3139" s="122">
        <v>0.14680000000000001</v>
      </c>
      <c r="G3139" s="62">
        <v>9793</v>
      </c>
      <c r="H3139" s="64">
        <v>0.91169999999999995</v>
      </c>
      <c r="I3139" s="64"/>
      <c r="J3139" s="123">
        <v>0.85319999999999996</v>
      </c>
    </row>
    <row r="3140" spans="1:10">
      <c r="A3140" s="3" t="s">
        <v>13</v>
      </c>
      <c r="B3140" s="103">
        <v>364</v>
      </c>
      <c r="C3140" s="57">
        <v>119</v>
      </c>
      <c r="D3140" s="61">
        <v>0.32690000000000002</v>
      </c>
      <c r="E3140" s="61"/>
      <c r="F3140" s="122">
        <v>0.61699999999999999</v>
      </c>
      <c r="G3140" s="57">
        <v>245</v>
      </c>
      <c r="H3140" s="64">
        <v>0.67310000000000003</v>
      </c>
      <c r="I3140" s="64"/>
      <c r="J3140" s="123">
        <v>0.38300000000000001</v>
      </c>
    </row>
    <row r="3141" spans="1:10" ht="15.75" thickBot="1">
      <c r="A3141" s="3" t="s">
        <v>181</v>
      </c>
      <c r="B3141" s="103">
        <v>423</v>
      </c>
      <c r="C3141" s="105">
        <v>5</v>
      </c>
      <c r="D3141" s="106">
        <v>1.18E-2</v>
      </c>
      <c r="E3141" s="106"/>
      <c r="F3141" s="124">
        <v>7.4700000000000003E-2</v>
      </c>
      <c r="G3141" s="50">
        <v>418</v>
      </c>
      <c r="H3141" s="68">
        <v>0.98819999999999997</v>
      </c>
      <c r="I3141" s="64"/>
      <c r="J3141" s="125">
        <v>0.92530000000000001</v>
      </c>
    </row>
    <row r="3142" spans="1:10" ht="17.25" thickTop="1" thickBot="1">
      <c r="A3142" s="34" t="s">
        <v>175</v>
      </c>
      <c r="B3142" s="126">
        <f>SUM(B3137:B3141)</f>
        <v>542308</v>
      </c>
      <c r="C3142" s="74">
        <f>SUM(C3137:C3141)</f>
        <v>1210</v>
      </c>
      <c r="D3142" s="107">
        <v>2.2000000000000001E-3</v>
      </c>
      <c r="E3142" s="107"/>
      <c r="F3142" s="75">
        <v>0.27460000000000001</v>
      </c>
      <c r="G3142" s="74">
        <f>SUM(G3137:G3141)</f>
        <v>541098</v>
      </c>
      <c r="H3142" s="75">
        <v>0.99780000000000002</v>
      </c>
      <c r="I3142" s="75"/>
      <c r="J3142" s="76">
        <v>0.72540000000000004</v>
      </c>
    </row>
    <row r="3143" spans="1:10" ht="16.5" thickBot="1">
      <c r="A3143" s="1"/>
    </row>
    <row r="3144" spans="1:10" ht="17.25" thickTop="1" thickBot="1">
      <c r="A3144" s="1" t="s">
        <v>321</v>
      </c>
      <c r="B3144" s="97"/>
      <c r="C3144" s="113" t="s">
        <v>179</v>
      </c>
      <c r="D3144" s="114"/>
      <c r="E3144" s="114"/>
      <c r="F3144" s="115"/>
      <c r="G3144" s="114" t="s">
        <v>180</v>
      </c>
      <c r="H3144" s="114"/>
      <c r="I3144" s="114"/>
      <c r="J3144" s="115"/>
    </row>
    <row r="3145" spans="1:10" ht="15.75" thickTop="1">
      <c r="B3145" s="42" t="s">
        <v>4</v>
      </c>
      <c r="C3145" s="43" t="s">
        <v>5</v>
      </c>
      <c r="D3145" s="44"/>
      <c r="E3145" s="44"/>
      <c r="F3145" s="116" t="s">
        <v>6</v>
      </c>
      <c r="G3145" s="43" t="s">
        <v>7</v>
      </c>
      <c r="H3145" s="46"/>
      <c r="I3145" s="46"/>
      <c r="J3145" s="117" t="s">
        <v>6</v>
      </c>
    </row>
    <row r="3146" spans="1:10" ht="15.75" thickBot="1">
      <c r="B3146" s="49" t="s">
        <v>8</v>
      </c>
      <c r="C3146" s="50" t="s">
        <v>8</v>
      </c>
      <c r="D3146" s="51" t="s">
        <v>9</v>
      </c>
      <c r="E3146" s="51"/>
      <c r="F3146" s="118" t="s">
        <v>9</v>
      </c>
      <c r="G3146" s="53" t="s">
        <v>8</v>
      </c>
      <c r="H3146" s="54" t="s">
        <v>9</v>
      </c>
      <c r="I3146" s="54"/>
      <c r="J3146" s="119" t="s">
        <v>9</v>
      </c>
    </row>
    <row r="3147" spans="1:10" ht="15.75" thickTop="1">
      <c r="C3147" s="43"/>
      <c r="F3147" s="120"/>
      <c r="G3147" s="57"/>
      <c r="J3147" s="121"/>
    </row>
    <row r="3148" spans="1:10">
      <c r="A3148" s="3" t="s">
        <v>10</v>
      </c>
      <c r="B3148" s="103">
        <v>485323</v>
      </c>
      <c r="C3148" s="57">
        <v>72</v>
      </c>
      <c r="D3148" s="61">
        <v>1E-4</v>
      </c>
      <c r="E3148" s="61"/>
      <c r="F3148" s="122">
        <v>2.9999999999999997E-4</v>
      </c>
      <c r="G3148" s="62">
        <v>485251</v>
      </c>
      <c r="H3148" s="64">
        <v>0.99990000000000001</v>
      </c>
      <c r="I3148" s="64"/>
      <c r="J3148" s="123">
        <v>0.99970000000000003</v>
      </c>
    </row>
    <row r="3149" spans="1:10">
      <c r="A3149" s="3" t="s">
        <v>11</v>
      </c>
      <c r="B3149" s="103">
        <v>44803</v>
      </c>
      <c r="C3149" s="57">
        <v>63</v>
      </c>
      <c r="D3149" s="61">
        <v>1.4E-3</v>
      </c>
      <c r="E3149" s="61"/>
      <c r="F3149" s="122">
        <v>1.5E-3</v>
      </c>
      <c r="G3149" s="62">
        <v>44740</v>
      </c>
      <c r="H3149" s="64">
        <v>0.99860000000000004</v>
      </c>
      <c r="I3149" s="64"/>
      <c r="J3149" s="123">
        <v>0.99850000000000005</v>
      </c>
    </row>
    <row r="3150" spans="1:10">
      <c r="A3150" s="3" t="s">
        <v>12</v>
      </c>
      <c r="B3150" s="103">
        <v>10731</v>
      </c>
      <c r="C3150" s="57">
        <v>945</v>
      </c>
      <c r="D3150" s="61">
        <v>8.8099999999999998E-2</v>
      </c>
      <c r="E3150" s="61"/>
      <c r="F3150" s="122">
        <v>0.14530000000000001</v>
      </c>
      <c r="G3150" s="62">
        <v>9786</v>
      </c>
      <c r="H3150" s="64">
        <v>0.91190000000000004</v>
      </c>
      <c r="I3150" s="64"/>
      <c r="J3150" s="123">
        <v>0.85470000000000002</v>
      </c>
    </row>
    <row r="3151" spans="1:10">
      <c r="A3151" s="3" t="s">
        <v>13</v>
      </c>
      <c r="B3151" s="103">
        <v>360</v>
      </c>
      <c r="C3151" s="57">
        <v>118</v>
      </c>
      <c r="D3151" s="61">
        <v>0.32779999999999998</v>
      </c>
      <c r="E3151" s="61"/>
      <c r="F3151" s="122">
        <v>0.65449999999999997</v>
      </c>
      <c r="G3151" s="57">
        <v>242</v>
      </c>
      <c r="H3151" s="64">
        <v>0.67220000000000002</v>
      </c>
      <c r="I3151" s="64"/>
      <c r="J3151" s="123">
        <v>0.34549999999999997</v>
      </c>
    </row>
    <row r="3152" spans="1:10" ht="15.75" thickBot="1">
      <c r="A3152" s="3" t="s">
        <v>181</v>
      </c>
      <c r="B3152" s="103">
        <v>418</v>
      </c>
      <c r="C3152" s="105">
        <v>5</v>
      </c>
      <c r="D3152" s="106">
        <v>1.2E-2</v>
      </c>
      <c r="E3152" s="106"/>
      <c r="F3152" s="124">
        <v>8.3400000000000002E-2</v>
      </c>
      <c r="G3152" s="50">
        <v>413</v>
      </c>
      <c r="H3152" s="68">
        <v>0.98799999999999999</v>
      </c>
      <c r="I3152" s="64"/>
      <c r="J3152" s="125">
        <v>0.91659999999999997</v>
      </c>
    </row>
    <row r="3153" spans="1:10" ht="17.25" thickTop="1" thickBot="1">
      <c r="A3153" s="34" t="s">
        <v>175</v>
      </c>
      <c r="B3153" s="126">
        <f>SUM(B3148:B3152)</f>
        <v>541635</v>
      </c>
      <c r="C3153" s="74">
        <f>SUM(C3148:C3152)</f>
        <v>1203</v>
      </c>
      <c r="D3153" s="107">
        <v>2.2000000000000001E-3</v>
      </c>
      <c r="E3153" s="107"/>
      <c r="F3153" s="75">
        <v>0.27650000000000002</v>
      </c>
      <c r="G3153" s="74">
        <f>SUM(G3148:G3152)</f>
        <v>540432</v>
      </c>
      <c r="H3153" s="75">
        <v>0.99780000000000002</v>
      </c>
      <c r="I3153" s="75"/>
      <c r="J3153" s="76">
        <v>0.72350000000000003</v>
      </c>
    </row>
    <row r="3154" spans="1:10" ht="16.5" thickBot="1">
      <c r="A3154" s="1"/>
    </row>
    <row r="3155" spans="1:10" ht="17.25" thickTop="1" thickBot="1">
      <c r="A3155" s="1" t="s">
        <v>322</v>
      </c>
      <c r="B3155" s="97"/>
      <c r="C3155" s="113" t="s">
        <v>179</v>
      </c>
      <c r="D3155" s="114"/>
      <c r="E3155" s="114"/>
      <c r="F3155" s="115"/>
      <c r="G3155" s="114" t="s">
        <v>180</v>
      </c>
      <c r="H3155" s="114"/>
      <c r="I3155" s="114"/>
      <c r="J3155" s="115"/>
    </row>
    <row r="3156" spans="1:10" ht="15.75" thickTop="1">
      <c r="B3156" s="42" t="s">
        <v>4</v>
      </c>
      <c r="C3156" s="43" t="s">
        <v>5</v>
      </c>
      <c r="D3156" s="44"/>
      <c r="E3156" s="44"/>
      <c r="F3156" s="116" t="s">
        <v>6</v>
      </c>
      <c r="G3156" s="43" t="s">
        <v>7</v>
      </c>
      <c r="H3156" s="46"/>
      <c r="I3156" s="46"/>
      <c r="J3156" s="117" t="s">
        <v>6</v>
      </c>
    </row>
    <row r="3157" spans="1:10" ht="15.75" thickBot="1">
      <c r="B3157" s="49" t="s">
        <v>8</v>
      </c>
      <c r="C3157" s="50" t="s">
        <v>8</v>
      </c>
      <c r="D3157" s="51" t="s">
        <v>9</v>
      </c>
      <c r="E3157" s="51"/>
      <c r="F3157" s="118" t="s">
        <v>9</v>
      </c>
      <c r="G3157" s="53" t="s">
        <v>8</v>
      </c>
      <c r="H3157" s="54" t="s">
        <v>9</v>
      </c>
      <c r="I3157" s="54"/>
      <c r="J3157" s="119" t="s">
        <v>9</v>
      </c>
    </row>
    <row r="3158" spans="1:10" ht="15.75" thickTop="1">
      <c r="C3158" s="43"/>
      <c r="F3158" s="120"/>
      <c r="G3158" s="57"/>
      <c r="J3158" s="121"/>
    </row>
    <row r="3159" spans="1:10">
      <c r="A3159" s="3" t="s">
        <v>10</v>
      </c>
      <c r="B3159" s="103">
        <v>484489</v>
      </c>
      <c r="C3159" s="57">
        <v>67</v>
      </c>
      <c r="D3159" s="61">
        <v>1E-4</v>
      </c>
      <c r="E3159" s="61"/>
      <c r="F3159" s="122">
        <v>2.9999999999999997E-4</v>
      </c>
      <c r="G3159" s="62">
        <v>484422</v>
      </c>
      <c r="H3159" s="64">
        <v>0.99990000000000001</v>
      </c>
      <c r="I3159" s="64"/>
      <c r="J3159" s="123">
        <v>0.99970000000000003</v>
      </c>
    </row>
    <row r="3160" spans="1:10">
      <c r="A3160" s="3" t="s">
        <v>11</v>
      </c>
      <c r="B3160" s="103">
        <v>44663</v>
      </c>
      <c r="C3160" s="57">
        <v>62</v>
      </c>
      <c r="D3160" s="61">
        <v>1.4E-3</v>
      </c>
      <c r="E3160" s="61"/>
      <c r="F3160" s="122">
        <v>1.1000000000000001E-3</v>
      </c>
      <c r="G3160" s="62">
        <v>44601</v>
      </c>
      <c r="H3160" s="64">
        <v>0.99860000000000004</v>
      </c>
      <c r="I3160" s="64"/>
      <c r="J3160" s="123">
        <v>0.99890000000000001</v>
      </c>
    </row>
    <row r="3161" spans="1:10">
      <c r="A3161" s="3" t="s">
        <v>12</v>
      </c>
      <c r="B3161" s="103">
        <v>10719</v>
      </c>
      <c r="C3161" s="57">
        <v>956</v>
      </c>
      <c r="D3161" s="61">
        <v>8.9200000000000002E-2</v>
      </c>
      <c r="E3161" s="61"/>
      <c r="F3161" s="122">
        <v>0.1404</v>
      </c>
      <c r="G3161" s="62">
        <v>9763</v>
      </c>
      <c r="H3161" s="64">
        <v>0.91080000000000005</v>
      </c>
      <c r="I3161" s="64"/>
      <c r="J3161" s="123">
        <v>0.85960000000000003</v>
      </c>
    </row>
    <row r="3162" spans="1:10">
      <c r="A3162" s="3" t="s">
        <v>13</v>
      </c>
      <c r="B3162" s="103">
        <v>364</v>
      </c>
      <c r="C3162" s="57">
        <v>126</v>
      </c>
      <c r="D3162" s="61">
        <v>0.34620000000000001</v>
      </c>
      <c r="E3162" s="61"/>
      <c r="F3162" s="122">
        <v>0.68479999999999996</v>
      </c>
      <c r="G3162" s="57">
        <v>413</v>
      </c>
      <c r="H3162" s="64">
        <v>0.65380000000000005</v>
      </c>
      <c r="I3162" s="64"/>
      <c r="J3162" s="123">
        <v>0.31519999999999998</v>
      </c>
    </row>
    <row r="3163" spans="1:10" ht="15.75" thickBot="1">
      <c r="A3163" s="3" t="s">
        <v>181</v>
      </c>
      <c r="B3163" s="103">
        <v>417</v>
      </c>
      <c r="C3163" s="105">
        <v>4</v>
      </c>
      <c r="D3163" s="106">
        <v>9.5999999999999992E-3</v>
      </c>
      <c r="E3163" s="106"/>
      <c r="F3163" s="124">
        <v>8.6900000000000005E-2</v>
      </c>
      <c r="G3163" s="50">
        <v>413</v>
      </c>
      <c r="H3163" s="68">
        <v>0.99039999999999995</v>
      </c>
      <c r="I3163" s="64"/>
      <c r="J3163" s="123">
        <v>0.91310000000000002</v>
      </c>
    </row>
    <row r="3164" spans="1:10" ht="17.25" thickTop="1" thickBot="1">
      <c r="A3164" s="34" t="s">
        <v>175</v>
      </c>
      <c r="B3164" s="126">
        <v>540652</v>
      </c>
      <c r="C3164" s="127">
        <v>1215</v>
      </c>
      <c r="D3164" s="107">
        <v>2.2000000000000001E-3</v>
      </c>
      <c r="E3164" s="107"/>
      <c r="F3164" s="128">
        <v>0.3165</v>
      </c>
      <c r="G3164" s="129">
        <v>539437</v>
      </c>
      <c r="H3164" s="75">
        <v>0.99780000000000002</v>
      </c>
      <c r="I3164" s="75"/>
      <c r="J3164" s="76">
        <v>0.6835</v>
      </c>
    </row>
    <row r="3165" spans="1:10" ht="16.5" thickBot="1">
      <c r="A3165" s="1"/>
    </row>
    <row r="3166" spans="1:10" ht="17.25" thickTop="1" thickBot="1">
      <c r="A3166" s="1" t="s">
        <v>323</v>
      </c>
      <c r="B3166" s="97"/>
      <c r="C3166" s="113" t="s">
        <v>179</v>
      </c>
      <c r="D3166" s="114"/>
      <c r="E3166" s="114"/>
      <c r="F3166" s="115"/>
      <c r="G3166" s="114" t="s">
        <v>180</v>
      </c>
      <c r="H3166" s="114"/>
      <c r="I3166" s="114"/>
      <c r="J3166" s="115"/>
    </row>
    <row r="3167" spans="1:10" ht="15.75" thickTop="1">
      <c r="B3167" s="42" t="s">
        <v>4</v>
      </c>
      <c r="C3167" s="43" t="s">
        <v>5</v>
      </c>
      <c r="D3167" s="44"/>
      <c r="E3167" s="44"/>
      <c r="F3167" s="116" t="s">
        <v>6</v>
      </c>
      <c r="G3167" s="43" t="s">
        <v>7</v>
      </c>
      <c r="H3167" s="46"/>
      <c r="I3167" s="46"/>
      <c r="J3167" s="117" t="s">
        <v>6</v>
      </c>
    </row>
    <row r="3168" spans="1:10" ht="15.75" thickBot="1">
      <c r="B3168" s="49" t="s">
        <v>8</v>
      </c>
      <c r="C3168" s="50" t="s">
        <v>8</v>
      </c>
      <c r="D3168" s="51" t="s">
        <v>9</v>
      </c>
      <c r="E3168" s="51"/>
      <c r="F3168" s="118" t="s">
        <v>9</v>
      </c>
      <c r="G3168" s="53" t="s">
        <v>8</v>
      </c>
      <c r="H3168" s="54" t="s">
        <v>9</v>
      </c>
      <c r="I3168" s="54"/>
      <c r="J3168" s="119" t="s">
        <v>9</v>
      </c>
    </row>
    <row r="3169" spans="1:10" ht="15.75" thickTop="1">
      <c r="C3169" s="43"/>
      <c r="F3169" s="120"/>
      <c r="G3169" s="57"/>
      <c r="J3169" s="121"/>
    </row>
    <row r="3170" spans="1:10">
      <c r="A3170" s="3" t="s">
        <v>10</v>
      </c>
      <c r="B3170" s="103">
        <v>483191</v>
      </c>
      <c r="C3170" s="57">
        <v>61</v>
      </c>
      <c r="D3170" s="61">
        <v>1E-4</v>
      </c>
      <c r="E3170" s="61"/>
      <c r="F3170" s="122">
        <v>1.7231659661567033E-4</v>
      </c>
      <c r="G3170" s="62">
        <v>483130</v>
      </c>
      <c r="H3170" s="64">
        <v>0.99990000000000001</v>
      </c>
      <c r="I3170" s="64"/>
      <c r="J3170" s="123">
        <v>0.99980000000000002</v>
      </c>
    </row>
    <row r="3171" spans="1:10">
      <c r="A3171" s="3" t="s">
        <v>11</v>
      </c>
      <c r="B3171" s="103">
        <v>44538</v>
      </c>
      <c r="C3171" s="57">
        <v>59</v>
      </c>
      <c r="D3171" s="61">
        <v>1.2999999999999999E-3</v>
      </c>
      <c r="E3171" s="61"/>
      <c r="F3171" s="122">
        <v>8.9999999999999998E-4</v>
      </c>
      <c r="G3171" s="62">
        <v>44479</v>
      </c>
      <c r="H3171" s="64">
        <v>0.99870000000000003</v>
      </c>
      <c r="I3171" s="64"/>
      <c r="J3171" s="123">
        <v>0.99909999999999999</v>
      </c>
    </row>
    <row r="3172" spans="1:10">
      <c r="A3172" s="3" t="s">
        <v>12</v>
      </c>
      <c r="B3172" s="103">
        <v>10780</v>
      </c>
      <c r="C3172" s="57">
        <v>957</v>
      </c>
      <c r="D3172" s="61">
        <v>8.8800000000000004E-2</v>
      </c>
      <c r="E3172" s="61"/>
      <c r="F3172" s="122">
        <v>9.6799999999999997E-2</v>
      </c>
      <c r="G3172" s="62">
        <v>9823</v>
      </c>
      <c r="H3172" s="64">
        <v>0.91120000000000001</v>
      </c>
      <c r="I3172" s="64"/>
      <c r="J3172" s="123">
        <v>0.9032</v>
      </c>
    </row>
    <row r="3173" spans="1:10">
      <c r="A3173" s="3" t="s">
        <v>13</v>
      </c>
      <c r="B3173" s="103">
        <v>363</v>
      </c>
      <c r="C3173" s="57">
        <v>121</v>
      </c>
      <c r="D3173" s="61">
        <v>0.33329999999999999</v>
      </c>
      <c r="E3173" s="61"/>
      <c r="F3173" s="122">
        <v>0.63390000000000002</v>
      </c>
      <c r="G3173" s="57">
        <v>242</v>
      </c>
      <c r="H3173" s="64">
        <v>0.66669999999999996</v>
      </c>
      <c r="I3173" s="64"/>
      <c r="J3173" s="123">
        <v>0.36609999999999998</v>
      </c>
    </row>
    <row r="3174" spans="1:10" ht="15.75" thickBot="1">
      <c r="A3174" s="3" t="s">
        <v>181</v>
      </c>
      <c r="B3174" s="103">
        <v>415</v>
      </c>
      <c r="C3174" s="105">
        <v>4</v>
      </c>
      <c r="D3174" s="106">
        <v>9.5999999999999992E-3</v>
      </c>
      <c r="E3174" s="106"/>
      <c r="F3174" s="124">
        <v>7.6399999999999996E-2</v>
      </c>
      <c r="G3174" s="50">
        <v>411</v>
      </c>
      <c r="H3174" s="68">
        <v>0.99039999999999995</v>
      </c>
      <c r="I3174" s="64"/>
      <c r="J3174" s="123">
        <v>0.92359999999999998</v>
      </c>
    </row>
    <row r="3175" spans="1:10" ht="17.25" thickTop="1" thickBot="1">
      <c r="A3175" s="34" t="s">
        <v>175</v>
      </c>
      <c r="B3175" s="126">
        <v>539287</v>
      </c>
      <c r="C3175" s="127">
        <v>1202</v>
      </c>
      <c r="D3175" s="107">
        <v>2.2000000000000001E-3</v>
      </c>
      <c r="E3175" s="107"/>
      <c r="F3175" s="128">
        <v>0.31009999999999999</v>
      </c>
      <c r="G3175" s="129">
        <v>538085</v>
      </c>
      <c r="H3175" s="75">
        <v>0.99780000000000002</v>
      </c>
      <c r="I3175" s="75"/>
      <c r="J3175" s="76">
        <v>0.68989999999999996</v>
      </c>
    </row>
    <row r="3176" spans="1:10" ht="15.75">
      <c r="A3176" s="34"/>
      <c r="B3176" s="83"/>
      <c r="C3176" s="23"/>
      <c r="D3176" s="130"/>
      <c r="E3176" s="130"/>
      <c r="F3176" s="131"/>
      <c r="G3176" s="23"/>
      <c r="H3176" s="131"/>
      <c r="I3176" s="131"/>
      <c r="J3176" s="132"/>
    </row>
    <row r="3177" spans="1:10" ht="16.5" thickBot="1">
      <c r="A3177" s="34"/>
      <c r="B3177" s="133"/>
      <c r="C3177" s="23"/>
      <c r="D3177" s="130"/>
      <c r="E3177" s="130"/>
      <c r="F3177" s="131"/>
      <c r="G3177" s="23"/>
      <c r="H3177" s="131"/>
      <c r="I3177" s="131"/>
      <c r="J3177" s="132"/>
    </row>
    <row r="3178" spans="1:10" ht="17.25" thickTop="1" thickBot="1">
      <c r="A3178" s="1" t="s">
        <v>324</v>
      </c>
      <c r="B3178" s="97"/>
      <c r="C3178" s="113" t="s">
        <v>179</v>
      </c>
      <c r="D3178" s="114"/>
      <c r="E3178" s="114"/>
      <c r="F3178" s="115"/>
      <c r="G3178" s="114" t="s">
        <v>180</v>
      </c>
      <c r="H3178" s="114"/>
      <c r="I3178" s="114"/>
      <c r="J3178" s="115"/>
    </row>
    <row r="3179" spans="1:10" ht="15.75" thickTop="1">
      <c r="B3179" s="42" t="s">
        <v>4</v>
      </c>
      <c r="C3179" s="43" t="s">
        <v>5</v>
      </c>
      <c r="D3179" s="44"/>
      <c r="E3179" s="44"/>
      <c r="F3179" s="116" t="s">
        <v>6</v>
      </c>
      <c r="G3179" s="43" t="s">
        <v>7</v>
      </c>
      <c r="H3179" s="46"/>
      <c r="I3179" s="46"/>
      <c r="J3179" s="117" t="s">
        <v>6</v>
      </c>
    </row>
    <row r="3180" spans="1:10" ht="15.75" thickBot="1">
      <c r="B3180" s="49" t="s">
        <v>8</v>
      </c>
      <c r="C3180" s="50" t="s">
        <v>8</v>
      </c>
      <c r="D3180" s="51" t="s">
        <v>9</v>
      </c>
      <c r="E3180" s="51"/>
      <c r="F3180" s="118" t="s">
        <v>9</v>
      </c>
      <c r="G3180" s="53" t="s">
        <v>8</v>
      </c>
      <c r="H3180" s="54" t="s">
        <v>9</v>
      </c>
      <c r="I3180" s="54"/>
      <c r="J3180" s="119" t="s">
        <v>9</v>
      </c>
    </row>
    <row r="3181" spans="1:10" ht="15.75" thickTop="1">
      <c r="C3181" s="43"/>
      <c r="F3181" s="134"/>
      <c r="G3181" s="57"/>
      <c r="J3181" s="121"/>
    </row>
    <row r="3182" spans="1:10">
      <c r="A3182" s="3" t="s">
        <v>10</v>
      </c>
      <c r="B3182" s="103">
        <v>483157</v>
      </c>
      <c r="C3182" s="57">
        <v>49</v>
      </c>
      <c r="D3182" s="61">
        <v>0</v>
      </c>
      <c r="E3182" s="61"/>
      <c r="F3182" s="122">
        <v>0</v>
      </c>
      <c r="G3182" s="62">
        <v>483108</v>
      </c>
      <c r="H3182" s="135">
        <v>1</v>
      </c>
      <c r="I3182" s="135"/>
      <c r="J3182" s="136">
        <v>1</v>
      </c>
    </row>
    <row r="3183" spans="1:10">
      <c r="A3183" s="3" t="s">
        <v>11</v>
      </c>
      <c r="B3183" s="103">
        <v>44423</v>
      </c>
      <c r="C3183" s="57">
        <v>52</v>
      </c>
      <c r="D3183" s="61">
        <v>1E-3</v>
      </c>
      <c r="E3183" s="61"/>
      <c r="F3183" s="122">
        <v>1E-3</v>
      </c>
      <c r="G3183" s="62">
        <v>44371</v>
      </c>
      <c r="H3183" s="64">
        <v>0.999</v>
      </c>
      <c r="I3183" s="64"/>
      <c r="J3183" s="136">
        <v>1</v>
      </c>
    </row>
    <row r="3184" spans="1:10">
      <c r="A3184" s="3" t="s">
        <v>12</v>
      </c>
      <c r="B3184" s="103">
        <v>10896</v>
      </c>
      <c r="C3184" s="57">
        <v>808</v>
      </c>
      <c r="D3184" s="61">
        <v>7.3999999999999996E-2</v>
      </c>
      <c r="E3184" s="61"/>
      <c r="F3184" s="122">
        <v>8.5000000000000006E-2</v>
      </c>
      <c r="G3184" s="62">
        <v>10088</v>
      </c>
      <c r="H3184" s="64">
        <v>0.92600000000000005</v>
      </c>
      <c r="I3184" s="64"/>
      <c r="J3184" s="123">
        <v>0.91</v>
      </c>
    </row>
    <row r="3185" spans="1:10">
      <c r="A3185" s="3" t="s">
        <v>13</v>
      </c>
      <c r="B3185" s="103">
        <v>363</v>
      </c>
      <c r="C3185" s="57">
        <v>118</v>
      </c>
      <c r="D3185" s="61">
        <v>0.32500000000000001</v>
      </c>
      <c r="E3185" s="61"/>
      <c r="F3185" s="122">
        <v>0.64500000000000002</v>
      </c>
      <c r="G3185" s="57">
        <v>245</v>
      </c>
      <c r="H3185" s="64">
        <v>0.67500000000000004</v>
      </c>
      <c r="I3185" s="64"/>
      <c r="J3185" s="123">
        <v>0.36</v>
      </c>
    </row>
    <row r="3186" spans="1:10" ht="15.75" thickBot="1">
      <c r="A3186" s="3" t="s">
        <v>181</v>
      </c>
      <c r="B3186" s="103">
        <v>413</v>
      </c>
      <c r="C3186" s="105">
        <v>4</v>
      </c>
      <c r="D3186" s="106">
        <v>0.01</v>
      </c>
      <c r="E3186" s="106"/>
      <c r="F3186" s="124">
        <v>7.1999999999999995E-2</v>
      </c>
      <c r="G3186" s="50">
        <v>409</v>
      </c>
      <c r="H3186" s="68">
        <v>0.99</v>
      </c>
      <c r="I3186" s="64"/>
      <c r="J3186" s="123">
        <v>0.93</v>
      </c>
    </row>
    <row r="3187" spans="1:10" ht="17.25" thickTop="1" thickBot="1">
      <c r="A3187" s="34" t="s">
        <v>175</v>
      </c>
      <c r="B3187" s="137">
        <v>539252</v>
      </c>
      <c r="C3187" s="138">
        <v>1031</v>
      </c>
      <c r="D3187" s="139">
        <v>2E-3</v>
      </c>
      <c r="E3187" s="139"/>
      <c r="F3187" s="140">
        <v>0.31899971446362446</v>
      </c>
      <c r="G3187" s="141">
        <v>538221</v>
      </c>
      <c r="H3187" s="142">
        <v>0.998</v>
      </c>
      <c r="I3187" s="142"/>
      <c r="J3187" s="143">
        <v>0.68</v>
      </c>
    </row>
    <row r="3188" spans="1:10" ht="16.5" thickTop="1">
      <c r="A3188" s="1"/>
    </row>
    <row r="3189" spans="1:10" ht="16.5" thickBot="1">
      <c r="A3189" s="1"/>
    </row>
    <row r="3190" spans="1:10" ht="17.25" thickTop="1" thickBot="1">
      <c r="A3190" s="1" t="s">
        <v>325</v>
      </c>
      <c r="B3190" s="97"/>
      <c r="C3190" s="113" t="s">
        <v>179</v>
      </c>
      <c r="D3190" s="114"/>
      <c r="E3190" s="114"/>
      <c r="F3190" s="115"/>
      <c r="G3190" s="114" t="s">
        <v>180</v>
      </c>
      <c r="H3190" s="114"/>
      <c r="I3190" s="114"/>
      <c r="J3190" s="115"/>
    </row>
    <row r="3191" spans="1:10" ht="15.75" thickTop="1">
      <c r="B3191" s="42" t="s">
        <v>4</v>
      </c>
      <c r="C3191" s="43" t="s">
        <v>5</v>
      </c>
      <c r="D3191" s="44"/>
      <c r="E3191" s="44"/>
      <c r="F3191" s="116" t="s">
        <v>6</v>
      </c>
      <c r="G3191" s="43" t="s">
        <v>7</v>
      </c>
      <c r="H3191" s="46"/>
      <c r="I3191" s="46"/>
      <c r="J3191" s="117" t="s">
        <v>6</v>
      </c>
    </row>
    <row r="3192" spans="1:10" ht="15.75" thickBot="1">
      <c r="B3192" s="49" t="s">
        <v>8</v>
      </c>
      <c r="C3192" s="50" t="s">
        <v>8</v>
      </c>
      <c r="D3192" s="51" t="s">
        <v>9</v>
      </c>
      <c r="E3192" s="51"/>
      <c r="F3192" s="118" t="s">
        <v>9</v>
      </c>
      <c r="G3192" s="53" t="s">
        <v>8</v>
      </c>
      <c r="H3192" s="54" t="s">
        <v>9</v>
      </c>
      <c r="I3192" s="54"/>
      <c r="J3192" s="119" t="s">
        <v>9</v>
      </c>
    </row>
    <row r="3193" spans="1:10" ht="15.75" thickTop="1">
      <c r="C3193" s="43"/>
      <c r="F3193" s="120"/>
      <c r="G3193" s="57"/>
      <c r="J3193" s="121"/>
    </row>
    <row r="3194" spans="1:10">
      <c r="A3194" s="3" t="s">
        <v>10</v>
      </c>
      <c r="B3194" s="83">
        <v>482511</v>
      </c>
      <c r="C3194" s="57">
        <v>40</v>
      </c>
      <c r="D3194" s="61">
        <v>0</v>
      </c>
      <c r="E3194" s="61"/>
      <c r="F3194" s="122">
        <v>0</v>
      </c>
      <c r="G3194" s="62">
        <v>482471</v>
      </c>
      <c r="H3194" s="144">
        <v>1</v>
      </c>
      <c r="I3194" s="144"/>
      <c r="J3194" s="145">
        <v>1</v>
      </c>
    </row>
    <row r="3195" spans="1:10">
      <c r="A3195" s="3" t="s">
        <v>11</v>
      </c>
      <c r="B3195" s="83">
        <v>44062</v>
      </c>
      <c r="C3195" s="57">
        <v>39</v>
      </c>
      <c r="D3195" s="61">
        <v>1E-3</v>
      </c>
      <c r="E3195" s="61"/>
      <c r="F3195" s="122">
        <v>0</v>
      </c>
      <c r="G3195" s="62">
        <v>44023</v>
      </c>
      <c r="H3195" s="64">
        <v>0.999</v>
      </c>
      <c r="I3195" s="64"/>
      <c r="J3195" s="145">
        <v>0.99952116980640038</v>
      </c>
    </row>
    <row r="3196" spans="1:10">
      <c r="A3196" s="3" t="s">
        <v>12</v>
      </c>
      <c r="B3196" s="83">
        <v>11172</v>
      </c>
      <c r="C3196" s="57">
        <v>425</v>
      </c>
      <c r="D3196" s="61">
        <v>3.7999999999999999E-2</v>
      </c>
      <c r="E3196" s="61"/>
      <c r="F3196" s="122">
        <v>5.7000000000000002E-2</v>
      </c>
      <c r="G3196" s="62">
        <v>10747</v>
      </c>
      <c r="H3196" s="64">
        <v>0.96199999999999997</v>
      </c>
      <c r="I3196" s="64"/>
      <c r="J3196" s="123">
        <v>0.94</v>
      </c>
    </row>
    <row r="3197" spans="1:10">
      <c r="A3197" s="3" t="s">
        <v>13</v>
      </c>
      <c r="B3197" s="83">
        <v>366</v>
      </c>
      <c r="C3197" s="57">
        <v>98</v>
      </c>
      <c r="D3197" s="61">
        <v>0.26800000000000002</v>
      </c>
      <c r="E3197" s="61"/>
      <c r="F3197" s="122">
        <v>0.60399999999999998</v>
      </c>
      <c r="G3197" s="57">
        <v>268</v>
      </c>
      <c r="H3197" s="64">
        <v>0.73199999999999998</v>
      </c>
      <c r="I3197" s="64"/>
      <c r="J3197" s="123">
        <v>0.4</v>
      </c>
    </row>
    <row r="3198" spans="1:10" ht="15.75" thickBot="1">
      <c r="A3198" s="3" t="s">
        <v>181</v>
      </c>
      <c r="B3198" s="146">
        <v>413</v>
      </c>
      <c r="C3198" s="105">
        <v>4</v>
      </c>
      <c r="D3198" s="106">
        <v>0.01</v>
      </c>
      <c r="E3198" s="106"/>
      <c r="F3198" s="124">
        <v>6.2E-2</v>
      </c>
      <c r="G3198" s="50">
        <v>409</v>
      </c>
      <c r="H3198" s="68">
        <v>0.99</v>
      </c>
      <c r="I3198" s="68"/>
      <c r="J3198" s="147">
        <v>0.94</v>
      </c>
    </row>
    <row r="3199" spans="1:10" ht="16.5" thickBot="1">
      <c r="A3199" s="34" t="s">
        <v>175</v>
      </c>
      <c r="B3199" s="148">
        <v>538524</v>
      </c>
      <c r="C3199" s="138">
        <v>606</v>
      </c>
      <c r="D3199" s="139">
        <v>1E-3</v>
      </c>
      <c r="E3199" s="139"/>
      <c r="F3199" s="140">
        <v>0.28000000000000003</v>
      </c>
      <c r="G3199" s="141">
        <v>537918</v>
      </c>
      <c r="H3199" s="142">
        <v>0.999</v>
      </c>
      <c r="I3199" s="142"/>
      <c r="J3199" s="149">
        <v>0.72</v>
      </c>
    </row>
    <row r="3200" spans="1:10" ht="15.75" thickTop="1"/>
    <row r="3201" spans="1:10" ht="15.75" thickBot="1"/>
    <row r="3202" spans="1:10" ht="17.25" thickTop="1" thickBot="1">
      <c r="A3202" s="1" t="s">
        <v>326</v>
      </c>
      <c r="B3202" s="97"/>
      <c r="C3202" s="113" t="s">
        <v>179</v>
      </c>
      <c r="D3202" s="114"/>
      <c r="E3202" s="114"/>
      <c r="F3202" s="115"/>
      <c r="G3202" s="114" t="s">
        <v>180</v>
      </c>
      <c r="H3202" s="114"/>
      <c r="I3202" s="114"/>
      <c r="J3202" s="115"/>
    </row>
    <row r="3203" spans="1:10" ht="15.75" thickTop="1">
      <c r="B3203" s="42" t="s">
        <v>4</v>
      </c>
      <c r="C3203" s="43" t="s">
        <v>5</v>
      </c>
      <c r="D3203" s="44"/>
      <c r="E3203" s="44"/>
      <c r="F3203" s="116" t="s">
        <v>6</v>
      </c>
      <c r="G3203" s="43" t="s">
        <v>7</v>
      </c>
      <c r="H3203" s="46"/>
      <c r="I3203" s="46"/>
      <c r="J3203" s="117" t="s">
        <v>6</v>
      </c>
    </row>
    <row r="3204" spans="1:10" ht="15.75" thickBot="1">
      <c r="B3204" s="49" t="s">
        <v>8</v>
      </c>
      <c r="C3204" s="50" t="s">
        <v>8</v>
      </c>
      <c r="D3204" s="51" t="s">
        <v>9</v>
      </c>
      <c r="E3204" s="51"/>
      <c r="F3204" s="118" t="s">
        <v>9</v>
      </c>
      <c r="G3204" s="53" t="s">
        <v>8</v>
      </c>
      <c r="H3204" s="54" t="s">
        <v>9</v>
      </c>
      <c r="I3204" s="54"/>
      <c r="J3204" s="119" t="s">
        <v>9</v>
      </c>
    </row>
    <row r="3205" spans="1:10" ht="15.75" thickTop="1">
      <c r="B3205" s="42"/>
      <c r="C3205" s="43"/>
      <c r="D3205" s="150"/>
      <c r="E3205" s="150"/>
      <c r="F3205" s="151"/>
      <c r="G3205" s="44"/>
      <c r="H3205" s="150"/>
      <c r="I3205" s="150"/>
      <c r="J3205" s="152"/>
    </row>
    <row r="3206" spans="1:10">
      <c r="A3206" s="3" t="s">
        <v>10</v>
      </c>
      <c r="B3206" s="83">
        <v>481665</v>
      </c>
      <c r="C3206" s="57">
        <v>39</v>
      </c>
      <c r="D3206" s="153">
        <v>0</v>
      </c>
      <c r="E3206" s="153"/>
      <c r="F3206" s="122">
        <v>0</v>
      </c>
      <c r="G3206" s="19">
        <v>481626</v>
      </c>
      <c r="H3206" s="154">
        <v>0.99992110617447993</v>
      </c>
      <c r="I3206" s="154"/>
      <c r="J3206" s="155">
        <v>0.99992820320004916</v>
      </c>
    </row>
    <row r="3207" spans="1:10">
      <c r="A3207" s="3" t="s">
        <v>11</v>
      </c>
      <c r="B3207" s="83">
        <v>43988</v>
      </c>
      <c r="C3207" s="57">
        <v>39</v>
      </c>
      <c r="D3207" s="153">
        <v>1E-3</v>
      </c>
      <c r="E3207" s="153"/>
      <c r="F3207" s="122">
        <v>0</v>
      </c>
      <c r="G3207" s="19">
        <v>43949</v>
      </c>
      <c r="H3207" s="63">
        <v>0.999</v>
      </c>
      <c r="I3207" s="63"/>
      <c r="J3207" s="155">
        <v>0.99956973506555935</v>
      </c>
    </row>
    <row r="3208" spans="1:10">
      <c r="A3208" s="3" t="s">
        <v>12</v>
      </c>
      <c r="B3208" s="83">
        <v>11143</v>
      </c>
      <c r="C3208" s="57">
        <v>420</v>
      </c>
      <c r="D3208" s="153">
        <v>3.7999999999999999E-2</v>
      </c>
      <c r="E3208" s="153"/>
      <c r="F3208" s="122">
        <v>6.8000000000000005E-2</v>
      </c>
      <c r="G3208" s="19">
        <v>10723</v>
      </c>
      <c r="H3208" s="63">
        <v>0.96199999999999997</v>
      </c>
      <c r="I3208" s="63"/>
      <c r="J3208" s="65">
        <v>0.93</v>
      </c>
    </row>
    <row r="3209" spans="1:10">
      <c r="A3209" s="3" t="s">
        <v>13</v>
      </c>
      <c r="B3209" s="83">
        <v>368</v>
      </c>
      <c r="C3209" s="57">
        <v>98</v>
      </c>
      <c r="D3209" s="153">
        <v>0.26600000000000001</v>
      </c>
      <c r="E3209" s="153"/>
      <c r="F3209" s="122">
        <v>0.59599999999999997</v>
      </c>
      <c r="G3209" s="3">
        <v>270</v>
      </c>
      <c r="H3209" s="63">
        <v>0.73399999999999999</v>
      </c>
      <c r="I3209" s="63"/>
      <c r="J3209" s="65">
        <v>0.4</v>
      </c>
    </row>
    <row r="3210" spans="1:10" ht="15.75" thickBot="1">
      <c r="A3210" s="3" t="s">
        <v>181</v>
      </c>
      <c r="B3210" s="133">
        <v>413</v>
      </c>
      <c r="C3210" s="50">
        <v>4</v>
      </c>
      <c r="D3210" s="156">
        <v>0.01</v>
      </c>
      <c r="E3210" s="156"/>
      <c r="F3210" s="157">
        <v>0.06</v>
      </c>
      <c r="G3210" s="51">
        <v>409</v>
      </c>
      <c r="H3210" s="158">
        <v>0.99</v>
      </c>
      <c r="I3210" s="158"/>
      <c r="J3210" s="159">
        <v>0.94</v>
      </c>
    </row>
    <row r="3211" spans="1:10" ht="17.25" thickTop="1" thickBot="1">
      <c r="A3211" s="34" t="s">
        <v>175</v>
      </c>
      <c r="B3211" s="148">
        <v>537577</v>
      </c>
      <c r="C3211" s="138">
        <v>600</v>
      </c>
      <c r="D3211" s="160">
        <v>1E-3</v>
      </c>
      <c r="E3211" s="160"/>
      <c r="F3211" s="140">
        <v>0.28199999999999997</v>
      </c>
      <c r="G3211" s="141">
        <v>536977</v>
      </c>
      <c r="H3211" s="161">
        <v>0.999</v>
      </c>
      <c r="I3211" s="142"/>
      <c r="J3211" s="161">
        <v>0.72</v>
      </c>
    </row>
    <row r="3212" spans="1:10" ht="15.75" thickTop="1"/>
    <row r="3213" spans="1:10" ht="15.75" thickBot="1"/>
    <row r="3214" spans="1:10" ht="17.25" thickTop="1" thickBot="1">
      <c r="A3214" s="1" t="s">
        <v>327</v>
      </c>
      <c r="B3214" s="97"/>
      <c r="C3214" s="113" t="s">
        <v>179</v>
      </c>
      <c r="D3214" s="114"/>
      <c r="E3214" s="114"/>
      <c r="F3214" s="115"/>
      <c r="G3214" s="114" t="s">
        <v>180</v>
      </c>
      <c r="H3214" s="114"/>
      <c r="I3214" s="114"/>
      <c r="J3214" s="115"/>
    </row>
    <row r="3215" spans="1:10" ht="15.75" thickTop="1">
      <c r="B3215" s="42" t="s">
        <v>4</v>
      </c>
      <c r="C3215" s="43" t="s">
        <v>5</v>
      </c>
      <c r="D3215" s="44"/>
      <c r="E3215" s="44"/>
      <c r="F3215" s="116" t="s">
        <v>6</v>
      </c>
      <c r="G3215" s="43" t="s">
        <v>7</v>
      </c>
      <c r="H3215" s="46"/>
      <c r="I3215" s="46"/>
      <c r="J3215" s="117" t="s">
        <v>6</v>
      </c>
    </row>
    <row r="3216" spans="1:10" ht="15.75" thickBot="1">
      <c r="B3216" s="49" t="s">
        <v>8</v>
      </c>
      <c r="C3216" s="50" t="s">
        <v>8</v>
      </c>
      <c r="D3216" s="51" t="s">
        <v>9</v>
      </c>
      <c r="E3216" s="51"/>
      <c r="F3216" s="118" t="s">
        <v>9</v>
      </c>
      <c r="G3216" s="53" t="s">
        <v>8</v>
      </c>
      <c r="H3216" s="54" t="s">
        <v>9</v>
      </c>
      <c r="I3216" s="54"/>
      <c r="J3216" s="119" t="s">
        <v>9</v>
      </c>
    </row>
    <row r="3217" spans="1:10" ht="15.75" thickTop="1">
      <c r="B3217" s="42"/>
      <c r="C3217" s="43"/>
      <c r="D3217" s="44"/>
      <c r="E3217" s="44"/>
      <c r="F3217" s="151"/>
      <c r="G3217" s="43"/>
      <c r="H3217" s="44"/>
      <c r="I3217" s="44"/>
      <c r="J3217" s="162"/>
    </row>
    <row r="3218" spans="1:10">
      <c r="A3218" s="3" t="s">
        <v>10</v>
      </c>
      <c r="B3218" s="83">
        <v>482344</v>
      </c>
      <c r="C3218" s="57">
        <v>34</v>
      </c>
      <c r="D3218" s="61">
        <v>0</v>
      </c>
      <c r="E3218" s="61"/>
      <c r="F3218" s="122">
        <v>0</v>
      </c>
      <c r="G3218" s="62">
        <v>482310</v>
      </c>
      <c r="H3218" s="144">
        <v>1</v>
      </c>
      <c r="I3218" s="144"/>
      <c r="J3218" s="145">
        <v>0.99992518117872387</v>
      </c>
    </row>
    <row r="3219" spans="1:10">
      <c r="A3219" s="3" t="s">
        <v>11</v>
      </c>
      <c r="B3219" s="83">
        <v>43906</v>
      </c>
      <c r="C3219" s="57">
        <v>38</v>
      </c>
      <c r="D3219" s="61">
        <v>1E-3</v>
      </c>
      <c r="E3219" s="61"/>
      <c r="F3219" s="122">
        <v>0</v>
      </c>
      <c r="G3219" s="62">
        <v>43868</v>
      </c>
      <c r="H3219" s="64">
        <v>0.999</v>
      </c>
      <c r="I3219" s="64"/>
      <c r="J3219" s="145">
        <v>0.9995745889951686</v>
      </c>
    </row>
    <row r="3220" spans="1:10">
      <c r="A3220" s="3" t="s">
        <v>12</v>
      </c>
      <c r="B3220" s="83">
        <v>11147</v>
      </c>
      <c r="C3220" s="57">
        <v>420</v>
      </c>
      <c r="D3220" s="61">
        <v>3.7999999999999999E-2</v>
      </c>
      <c r="E3220" s="61"/>
      <c r="F3220" s="122">
        <v>5.8000000000000003E-2</v>
      </c>
      <c r="G3220" s="62">
        <v>10727</v>
      </c>
      <c r="H3220" s="64">
        <v>0.96199999999999997</v>
      </c>
      <c r="I3220" s="64"/>
      <c r="J3220" s="123">
        <v>0.94</v>
      </c>
    </row>
    <row r="3221" spans="1:10">
      <c r="A3221" s="3" t="s">
        <v>13</v>
      </c>
      <c r="B3221" s="83">
        <v>371</v>
      </c>
      <c r="C3221" s="57">
        <v>102</v>
      </c>
      <c r="D3221" s="61">
        <v>0.27500000000000002</v>
      </c>
      <c r="E3221" s="61"/>
      <c r="F3221" s="122">
        <v>0.58699999999999997</v>
      </c>
      <c r="G3221" s="57">
        <v>269</v>
      </c>
      <c r="H3221" s="64">
        <v>0.72499999999999998</v>
      </c>
      <c r="I3221" s="64"/>
      <c r="J3221" s="123">
        <v>0.41</v>
      </c>
    </row>
    <row r="3222" spans="1:10" ht="15.75" thickBot="1">
      <c r="A3222" s="3" t="s">
        <v>181</v>
      </c>
      <c r="B3222" s="133">
        <v>414</v>
      </c>
      <c r="C3222" s="50">
        <v>4</v>
      </c>
      <c r="D3222" s="163">
        <v>0.01</v>
      </c>
      <c r="E3222" s="163"/>
      <c r="F3222" s="157">
        <v>4.1000000000000002E-2</v>
      </c>
      <c r="G3222" s="50">
        <v>410</v>
      </c>
      <c r="H3222" s="68">
        <v>0.99</v>
      </c>
      <c r="I3222" s="68"/>
      <c r="J3222" s="147">
        <v>0.96</v>
      </c>
    </row>
    <row r="3223" spans="1:10" ht="17.25" thickTop="1" thickBot="1">
      <c r="A3223" s="34" t="s">
        <v>175</v>
      </c>
      <c r="B3223" s="148">
        <v>538182</v>
      </c>
      <c r="C3223" s="138">
        <v>598</v>
      </c>
      <c r="D3223" s="139">
        <v>1E-3</v>
      </c>
      <c r="E3223" s="139"/>
      <c r="F3223" s="140">
        <v>0.27760000000000001</v>
      </c>
      <c r="G3223" s="141">
        <v>537584</v>
      </c>
      <c r="H3223" s="142">
        <v>0.999</v>
      </c>
      <c r="I3223" s="142"/>
      <c r="J3223" s="149">
        <v>0.72</v>
      </c>
    </row>
    <row r="3224" spans="1:10" ht="15.75" thickTop="1"/>
    <row r="3225" spans="1:10" ht="15.75" thickBot="1"/>
    <row r="3226" spans="1:10" ht="17.25" thickTop="1" thickBot="1">
      <c r="A3226" s="1" t="s">
        <v>328</v>
      </c>
      <c r="B3226" s="97"/>
      <c r="C3226" s="113" t="s">
        <v>179</v>
      </c>
      <c r="D3226" s="114"/>
      <c r="E3226" s="114"/>
      <c r="F3226" s="115"/>
      <c r="G3226" s="114" t="s">
        <v>180</v>
      </c>
      <c r="H3226" s="114"/>
      <c r="I3226" s="114"/>
      <c r="J3226" s="115"/>
    </row>
    <row r="3227" spans="1:10" ht="15.75" thickTop="1">
      <c r="B3227" s="42" t="s">
        <v>4</v>
      </c>
      <c r="C3227" s="43" t="s">
        <v>5</v>
      </c>
      <c r="D3227" s="44"/>
      <c r="E3227" s="44"/>
      <c r="F3227" s="116" t="s">
        <v>6</v>
      </c>
      <c r="G3227" s="43" t="s">
        <v>7</v>
      </c>
      <c r="H3227" s="46"/>
      <c r="I3227" s="46"/>
      <c r="J3227" s="117" t="s">
        <v>6</v>
      </c>
    </row>
    <row r="3228" spans="1:10" ht="15.75" thickBot="1">
      <c r="B3228" s="49" t="s">
        <v>8</v>
      </c>
      <c r="C3228" s="50" t="s">
        <v>8</v>
      </c>
      <c r="D3228" s="51" t="s">
        <v>9</v>
      </c>
      <c r="E3228" s="51"/>
      <c r="F3228" s="118" t="s">
        <v>9</v>
      </c>
      <c r="G3228" s="53" t="s">
        <v>8</v>
      </c>
      <c r="H3228" s="54" t="s">
        <v>9</v>
      </c>
      <c r="I3228" s="54"/>
      <c r="J3228" s="119" t="s">
        <v>9</v>
      </c>
    </row>
    <row r="3229" spans="1:10" ht="15.75" thickTop="1">
      <c r="B3229" s="42"/>
      <c r="C3229" s="43"/>
      <c r="D3229" s="44"/>
      <c r="E3229" s="44"/>
      <c r="F3229" s="151"/>
      <c r="G3229" s="43"/>
      <c r="H3229" s="44"/>
      <c r="I3229" s="44"/>
      <c r="J3229" s="162"/>
    </row>
    <row r="3230" spans="1:10">
      <c r="A3230" s="3" t="s">
        <v>10</v>
      </c>
      <c r="B3230" s="83">
        <v>481289</v>
      </c>
      <c r="C3230" s="57">
        <v>24</v>
      </c>
      <c r="D3230" s="61">
        <v>4.9866399604393202E-5</v>
      </c>
      <c r="E3230" s="61"/>
      <c r="F3230" s="122">
        <v>0</v>
      </c>
      <c r="G3230" s="62">
        <v>481265</v>
      </c>
      <c r="H3230" s="144">
        <v>0.99995013360039564</v>
      </c>
      <c r="I3230" s="144"/>
      <c r="J3230" s="145">
        <v>0.99988158920829107</v>
      </c>
    </row>
    <row r="3231" spans="1:10">
      <c r="A3231" s="3" t="s">
        <v>11</v>
      </c>
      <c r="B3231" s="83">
        <v>43742</v>
      </c>
      <c r="C3231" s="57">
        <v>40</v>
      </c>
      <c r="D3231" s="61">
        <v>1E-4</v>
      </c>
      <c r="E3231" s="61"/>
      <c r="F3231" s="122">
        <v>1.3923469062985527E-6</v>
      </c>
      <c r="G3231" s="62">
        <v>43702</v>
      </c>
      <c r="H3231" s="64">
        <v>0.999</v>
      </c>
      <c r="I3231" s="64"/>
      <c r="J3231" s="145">
        <v>0.99999860765309379</v>
      </c>
    </row>
    <row r="3232" spans="1:10">
      <c r="A3232" s="3" t="s">
        <v>12</v>
      </c>
      <c r="B3232" s="83">
        <v>11113</v>
      </c>
      <c r="C3232" s="57">
        <v>412</v>
      </c>
      <c r="D3232" s="61">
        <v>3.6999999999999998E-2</v>
      </c>
      <c r="E3232" s="61"/>
      <c r="F3232" s="122">
        <v>5.8000000000000003E-2</v>
      </c>
      <c r="G3232" s="62">
        <v>10701</v>
      </c>
      <c r="H3232" s="64">
        <v>0.96299999999999997</v>
      </c>
      <c r="I3232" s="64"/>
      <c r="J3232" s="123">
        <v>0.94</v>
      </c>
    </row>
    <row r="3233" spans="1:10">
      <c r="A3233" s="3" t="s">
        <v>13</v>
      </c>
      <c r="B3233" s="83">
        <v>374</v>
      </c>
      <c r="C3233" s="57">
        <v>99</v>
      </c>
      <c r="D3233" s="61">
        <v>0.26500000000000001</v>
      </c>
      <c r="E3233" s="61"/>
      <c r="F3233" s="122">
        <v>0.64595609805650234</v>
      </c>
      <c r="G3233" s="57">
        <v>275</v>
      </c>
      <c r="H3233" s="64">
        <v>0.73499999999999999</v>
      </c>
      <c r="I3233" s="64"/>
      <c r="J3233" s="123">
        <v>0.35</v>
      </c>
    </row>
    <row r="3234" spans="1:10" ht="15.75" thickBot="1">
      <c r="A3234" s="3" t="s">
        <v>181</v>
      </c>
      <c r="B3234" s="133">
        <v>413</v>
      </c>
      <c r="C3234" s="50">
        <v>4</v>
      </c>
      <c r="D3234" s="163">
        <v>0.01</v>
      </c>
      <c r="E3234" s="163"/>
      <c r="F3234" s="157">
        <v>6.1218431003081927E-2</v>
      </c>
      <c r="G3234" s="50">
        <v>409</v>
      </c>
      <c r="H3234" s="68">
        <v>0.99</v>
      </c>
      <c r="I3234" s="68"/>
      <c r="J3234" s="147">
        <v>0.94</v>
      </c>
    </row>
    <row r="3235" spans="1:10" ht="17.25" thickTop="1" thickBot="1">
      <c r="A3235" s="34" t="s">
        <v>175</v>
      </c>
      <c r="B3235" s="148">
        <v>536931</v>
      </c>
      <c r="C3235" s="138">
        <v>579</v>
      </c>
      <c r="D3235" s="139">
        <v>1E-3</v>
      </c>
      <c r="E3235" s="139"/>
      <c r="F3235" s="140">
        <v>0.30497107799652479</v>
      </c>
      <c r="G3235" s="141">
        <v>536352</v>
      </c>
      <c r="H3235" s="142">
        <v>0.999</v>
      </c>
      <c r="I3235" s="142"/>
      <c r="J3235" s="149">
        <v>0.7</v>
      </c>
    </row>
    <row r="3236" spans="1:10" ht="15.75" thickTop="1"/>
  </sheetData>
  <mergeCells count="190">
    <mergeCell ref="C1980:F1980"/>
    <mergeCell ref="G1980:J1980"/>
    <mergeCell ref="E1981:F1981"/>
    <mergeCell ref="I1981:J1981"/>
    <mergeCell ref="C1950:F1950"/>
    <mergeCell ref="G1950:J1950"/>
    <mergeCell ref="E1951:F1951"/>
    <mergeCell ref="I1951:J1951"/>
    <mergeCell ref="E1961:F1961"/>
    <mergeCell ref="I1961:J1961"/>
    <mergeCell ref="E2365:F2365"/>
    <mergeCell ref="I2365:J2365"/>
    <mergeCell ref="E2376:F2376"/>
    <mergeCell ref="I2376:J2376"/>
    <mergeCell ref="E2387:F2387"/>
    <mergeCell ref="I2387:J2387"/>
    <mergeCell ref="C2240:F2240"/>
    <mergeCell ref="G2240:J2240"/>
    <mergeCell ref="E2241:F2241"/>
    <mergeCell ref="I2241:J2241"/>
    <mergeCell ref="C2310:F2310"/>
    <mergeCell ref="G2310:J2310"/>
    <mergeCell ref="E2311:F2311"/>
    <mergeCell ref="I2311:J2311"/>
    <mergeCell ref="E2332:F2332"/>
    <mergeCell ref="I2332:J2332"/>
    <mergeCell ref="E2343:F2343"/>
    <mergeCell ref="I2343:J2343"/>
    <mergeCell ref="E2354:F2354"/>
    <mergeCell ref="I2354:J2354"/>
    <mergeCell ref="E2291:F2291"/>
    <mergeCell ref="I2291:J2291"/>
    <mergeCell ref="C2280:F2280"/>
    <mergeCell ref="G2280:J2280"/>
    <mergeCell ref="E2281:F2281"/>
    <mergeCell ref="I2281:J2281"/>
    <mergeCell ref="E2442:F2442"/>
    <mergeCell ref="I2442:J2442"/>
    <mergeCell ref="E2420:F2420"/>
    <mergeCell ref="I2420:J2420"/>
    <mergeCell ref="E2431:F2431"/>
    <mergeCell ref="I2431:J2431"/>
    <mergeCell ref="E2398:F2398"/>
    <mergeCell ref="I2398:J2398"/>
    <mergeCell ref="E2409:F2409"/>
    <mergeCell ref="I2409:J2409"/>
    <mergeCell ref="C2300:F2300"/>
    <mergeCell ref="G2300:J2300"/>
    <mergeCell ref="E2301:F2301"/>
    <mergeCell ref="I2301:J2301"/>
    <mergeCell ref="E2321:F2321"/>
    <mergeCell ref="I2321:J2321"/>
    <mergeCell ref="G2320:J2320"/>
    <mergeCell ref="C2320:F2320"/>
    <mergeCell ref="C2270:F2270"/>
    <mergeCell ref="G2270:J2270"/>
    <mergeCell ref="C2260:F2260"/>
    <mergeCell ref="G2260:J2260"/>
    <mergeCell ref="E2261:F2261"/>
    <mergeCell ref="I2261:J2261"/>
    <mergeCell ref="E2271:F2271"/>
    <mergeCell ref="I2271:J2271"/>
    <mergeCell ref="C2290:F2290"/>
    <mergeCell ref="G2290:J2290"/>
    <mergeCell ref="E2211:F2211"/>
    <mergeCell ref="I2211:J2211"/>
    <mergeCell ref="C2230:F2230"/>
    <mergeCell ref="G2230:J2230"/>
    <mergeCell ref="E2231:F2231"/>
    <mergeCell ref="I2231:J2231"/>
    <mergeCell ref="C2250:F2250"/>
    <mergeCell ref="G2250:J2250"/>
    <mergeCell ref="E2251:F2251"/>
    <mergeCell ref="I2251:J2251"/>
    <mergeCell ref="C2220:F2220"/>
    <mergeCell ref="G2220:J2220"/>
    <mergeCell ref="E2221:F2221"/>
    <mergeCell ref="I2221:J2221"/>
    <mergeCell ref="C2190:F2190"/>
    <mergeCell ref="G2190:J2190"/>
    <mergeCell ref="E2191:F2191"/>
    <mergeCell ref="I2191:J2191"/>
    <mergeCell ref="C2210:F2210"/>
    <mergeCell ref="G2210:J2210"/>
    <mergeCell ref="C2200:F2200"/>
    <mergeCell ref="G2200:J2200"/>
    <mergeCell ref="E2201:F2201"/>
    <mergeCell ref="I2201:J2201"/>
    <mergeCell ref="E2161:F2161"/>
    <mergeCell ref="I2161:J2161"/>
    <mergeCell ref="C2180:F2180"/>
    <mergeCell ref="G2180:J2180"/>
    <mergeCell ref="E2181:F2181"/>
    <mergeCell ref="I2181:J2181"/>
    <mergeCell ref="C2170:F2170"/>
    <mergeCell ref="G2170:J2170"/>
    <mergeCell ref="E2171:F2171"/>
    <mergeCell ref="I2171:J2171"/>
    <mergeCell ref="C2140:F2140"/>
    <mergeCell ref="G2140:J2140"/>
    <mergeCell ref="E2141:F2141"/>
    <mergeCell ref="I2141:J2141"/>
    <mergeCell ref="C2160:F2160"/>
    <mergeCell ref="G2160:J2160"/>
    <mergeCell ref="C2150:F2150"/>
    <mergeCell ref="G2150:J2150"/>
    <mergeCell ref="E2151:F2151"/>
    <mergeCell ref="I2151:J2151"/>
    <mergeCell ref="E2111:F2111"/>
    <mergeCell ref="I2111:J2111"/>
    <mergeCell ref="C2130:F2130"/>
    <mergeCell ref="G2130:J2130"/>
    <mergeCell ref="E2131:F2131"/>
    <mergeCell ref="I2131:J2131"/>
    <mergeCell ref="C2120:F2120"/>
    <mergeCell ref="G2120:J2120"/>
    <mergeCell ref="E2121:F2121"/>
    <mergeCell ref="I2121:J2121"/>
    <mergeCell ref="C2090:F2090"/>
    <mergeCell ref="G2090:J2090"/>
    <mergeCell ref="E2091:F2091"/>
    <mergeCell ref="I2091:J2091"/>
    <mergeCell ref="C2110:F2110"/>
    <mergeCell ref="G2110:J2110"/>
    <mergeCell ref="C2100:F2100"/>
    <mergeCell ref="G2100:J2100"/>
    <mergeCell ref="E2101:F2101"/>
    <mergeCell ref="I2101:J2101"/>
    <mergeCell ref="E2061:F2061"/>
    <mergeCell ref="I2061:J2061"/>
    <mergeCell ref="C2080:F2080"/>
    <mergeCell ref="G2080:J2080"/>
    <mergeCell ref="E2081:F2081"/>
    <mergeCell ref="I2081:J2081"/>
    <mergeCell ref="C2070:F2070"/>
    <mergeCell ref="G2070:J2070"/>
    <mergeCell ref="E2071:F2071"/>
    <mergeCell ref="I2071:J2071"/>
    <mergeCell ref="C2040:F2040"/>
    <mergeCell ref="G2040:J2040"/>
    <mergeCell ref="E2041:F2041"/>
    <mergeCell ref="I2041:J2041"/>
    <mergeCell ref="C2060:F2060"/>
    <mergeCell ref="G2060:J2060"/>
    <mergeCell ref="C2050:F2050"/>
    <mergeCell ref="G2050:J2050"/>
    <mergeCell ref="E2051:F2051"/>
    <mergeCell ref="I2051:J2051"/>
    <mergeCell ref="E2011:F2011"/>
    <mergeCell ref="I2011:J2011"/>
    <mergeCell ref="C2030:F2030"/>
    <mergeCell ref="G2030:J2030"/>
    <mergeCell ref="E2031:F2031"/>
    <mergeCell ref="I2031:J2031"/>
    <mergeCell ref="C2020:F2020"/>
    <mergeCell ref="G2020:J2020"/>
    <mergeCell ref="E2021:F2021"/>
    <mergeCell ref="I2021:J2021"/>
    <mergeCell ref="C1990:F1990"/>
    <mergeCell ref="G1990:J1990"/>
    <mergeCell ref="E1991:F1991"/>
    <mergeCell ref="I1991:J1991"/>
    <mergeCell ref="C2010:F2010"/>
    <mergeCell ref="G2010:J2010"/>
    <mergeCell ref="C2000:F2000"/>
    <mergeCell ref="G2000:J2000"/>
    <mergeCell ref="E2001:F2001"/>
    <mergeCell ref="I2001:J2001"/>
    <mergeCell ref="C1940:F1940"/>
    <mergeCell ref="G1940:J1940"/>
    <mergeCell ref="E1941:F1941"/>
    <mergeCell ref="I1941:J1941"/>
    <mergeCell ref="C1970:F1970"/>
    <mergeCell ref="G1970:J1970"/>
    <mergeCell ref="E1971:F1971"/>
    <mergeCell ref="I1971:J1971"/>
    <mergeCell ref="C1910:F1910"/>
    <mergeCell ref="G1910:J1910"/>
    <mergeCell ref="E1911:F1911"/>
    <mergeCell ref="I1911:J1911"/>
    <mergeCell ref="C1960:F1960"/>
    <mergeCell ref="G1960:J1960"/>
    <mergeCell ref="C1930:F1930"/>
    <mergeCell ref="G1930:J1930"/>
    <mergeCell ref="E1931:F1931"/>
    <mergeCell ref="I1931:J1931"/>
    <mergeCell ref="C1920:F1920"/>
    <mergeCell ref="G1920:J1920"/>
    <mergeCell ref="E1921:F1921"/>
    <mergeCell ref="I1921:J1921"/>
  </mergeCells>
  <phoneticPr fontId="2" type="noConversion"/>
  <printOptions gridLines="1"/>
  <pageMargins left="0" right="0" top="0.79" bottom="1" header="0.5" footer="0.5"/>
  <pageSetup scale="10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9A78F5-5A27-498A-B9F6-EB371340A2F4}"/>
</file>

<file path=customXml/itemProps2.xml><?xml version="1.0" encoding="utf-8"?>
<ds:datastoreItem xmlns:ds="http://schemas.openxmlformats.org/officeDocument/2006/customXml" ds:itemID="{0484BC88-BA12-47F8-B96B-7288542F06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Maine Power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 Maine Power Company</dc:creator>
  <cp:keywords/>
  <dc:description/>
  <cp:lastModifiedBy>X</cp:lastModifiedBy>
  <cp:revision/>
  <dcterms:created xsi:type="dcterms:W3CDTF">2000-09-14T18:29:10Z</dcterms:created>
  <dcterms:modified xsi:type="dcterms:W3CDTF">2025-02-06T21:59:04Z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-1612073243</vt:i4>
  </property>
  <property fmtid="{D5CDD505-2E9C-101B-9397-08002B2CF9AE}" pid="3" name="_NewReviewCycle">
    <vt:lpwstr/>
  </property>
  <property fmtid="{D5CDD505-2E9C-101B-9397-08002B2CF9AE}" pid="4" name="_EmailSubject">
    <vt:lpwstr>statsload.xls</vt:lpwstr>
  </property>
  <property fmtid="{D5CDD505-2E9C-101B-9397-08002B2CF9AE}" pid="5" name="_AuthorEmail">
    <vt:lpwstr>Ann.Goucher@cmpco.com</vt:lpwstr>
  </property>
  <property fmtid="{D5CDD505-2E9C-101B-9397-08002B2CF9AE}" pid="6" name="_AuthorEmailDisplayName">
    <vt:lpwstr>Goucher, Ann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2024-03-01T13:21:30Z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f34ec94a-3ca1-4a19-b186-a5b343fb42d4</vt:lpwstr>
  </property>
  <property fmtid="{D5CDD505-2E9C-101B-9397-08002B2CF9AE}" pid="14" name="MSIP_Label_019c027e-33b7-45fc-a572-8ffa5d09ec36_ContentBits">
    <vt:lpwstr>2</vt:lpwstr>
  </property>
</Properties>
</file>